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3" yWindow="-113" windowWidth="21818" windowHeight="13898" activeTab="1"/>
  </bookViews>
  <sheets>
    <sheet name="大海则" sheetId="2" r:id="rId1"/>
    <sheet name="人工成本表 (总1+2)" sheetId="5" r:id="rId2"/>
    <sheet name="人工成本表-1矿井" sheetId="3" r:id="rId3"/>
    <sheet name="人工成本表-2选煤厂)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Database" localSheetId="1" hidden="1">#REF!</definedName>
    <definedName name="_xlnm.Database" localSheetId="2" hidden="1">#REF!</definedName>
    <definedName name="_xlnm.Database" localSheetId="3" hidden="1">#REF!</definedName>
    <definedName name="_xlnm.Database" hidden="1">#REF!</definedName>
    <definedName name="_xlnm.Print_Area" localSheetId="0">大海则!$A$1:$Y$6</definedName>
    <definedName name="_xlnm.Print_Area" localSheetId="1">'人工成本表 (总1+2)'!$A$2:$E$66</definedName>
    <definedName name="_xlnm.Print_Area" localSheetId="2">'人工成本表-1矿井'!$A$2:$E$66</definedName>
    <definedName name="_xlnm.Print_Area" localSheetId="3">'人工成本表-2选煤厂)'!$A$2:$E$66</definedName>
    <definedName name="_xlnm.Print_Titles" localSheetId="0">大海则!$1:$3</definedName>
    <definedName name="补充养老金数据" localSheetId="1">[1]缴费情况!#REF!</definedName>
    <definedName name="补充养老金数据" localSheetId="2">[1]缴费情况!#REF!</definedName>
    <definedName name="补充养老金数据" localSheetId="3">[1]缴费情况!#REF!</definedName>
    <definedName name="补充养老金数据">[1]缴费情况!#REF!</definedName>
    <definedName name="库结构" localSheetId="1">#REF!</definedName>
    <definedName name="库结构" localSheetId="2">#REF!</definedName>
    <definedName name="库结构" localSheetId="3">#REF!</definedName>
    <definedName name="库结构">#REF!</definedName>
    <definedName name="年薪测算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F65" i="5"/>
  <c r="F64" i="5"/>
  <c r="F63" i="5"/>
  <c r="F62" i="5"/>
  <c r="F61" i="5"/>
  <c r="F60" i="5"/>
  <c r="F59" i="5"/>
  <c r="F58" i="5"/>
  <c r="C58" i="5"/>
  <c r="D58" i="5" s="1"/>
  <c r="F57" i="5"/>
  <c r="F56" i="5"/>
  <c r="C56" i="5"/>
  <c r="F55" i="5"/>
  <c r="B55" i="5"/>
  <c r="D55" i="5" s="1"/>
  <c r="F54" i="5"/>
  <c r="D54" i="5"/>
  <c r="D53" i="5" s="1"/>
  <c r="B54" i="5"/>
  <c r="F53" i="5"/>
  <c r="F52" i="5"/>
  <c r="D52" i="5"/>
  <c r="F51" i="5"/>
  <c r="D51" i="5"/>
  <c r="D49" i="5" s="1"/>
  <c r="C51" i="5"/>
  <c r="F50" i="5"/>
  <c r="D50" i="5"/>
  <c r="C50" i="5" s="1"/>
  <c r="F49" i="5"/>
  <c r="B49" i="5"/>
  <c r="B56" i="5" s="1"/>
  <c r="D56" i="5" s="1"/>
  <c r="F48" i="5"/>
  <c r="B48" i="5"/>
  <c r="B6" i="5" s="1"/>
  <c r="F47" i="5"/>
  <c r="D47" i="5"/>
  <c r="C47" i="5"/>
  <c r="H47" i="5" s="1"/>
  <c r="F46" i="5"/>
  <c r="C46" i="5"/>
  <c r="H46" i="5" s="1"/>
  <c r="F45" i="5"/>
  <c r="D45" i="5"/>
  <c r="C45" i="5"/>
  <c r="H45" i="5" s="1"/>
  <c r="F44" i="5"/>
  <c r="C44" i="5"/>
  <c r="D44" i="5" s="1"/>
  <c r="F43" i="5"/>
  <c r="D43" i="5"/>
  <c r="C43" i="5"/>
  <c r="H43" i="5" s="1"/>
  <c r="F42" i="5"/>
  <c r="C42" i="5"/>
  <c r="D42" i="5" s="1"/>
  <c r="F41" i="5"/>
  <c r="D41" i="5"/>
  <c r="C41" i="5"/>
  <c r="H41" i="5" s="1"/>
  <c r="F40" i="5"/>
  <c r="C40" i="5"/>
  <c r="D40" i="5" s="1"/>
  <c r="H39" i="5"/>
  <c r="F39" i="5"/>
  <c r="F38" i="5"/>
  <c r="C38" i="5"/>
  <c r="H38" i="5" s="1"/>
  <c r="F37" i="5"/>
  <c r="F36" i="5"/>
  <c r="F35" i="5"/>
  <c r="F34" i="5"/>
  <c r="D34" i="5"/>
  <c r="F33" i="5"/>
  <c r="D33" i="5"/>
  <c r="F32" i="5"/>
  <c r="D32" i="5"/>
  <c r="F31" i="5"/>
  <c r="D31" i="5"/>
  <c r="F30" i="5"/>
  <c r="D30" i="5"/>
  <c r="F29" i="5"/>
  <c r="F28" i="5"/>
  <c r="F27" i="5"/>
  <c r="F26" i="5"/>
  <c r="F25" i="5"/>
  <c r="F24" i="5"/>
  <c r="C24" i="5"/>
  <c r="D24" i="5" s="1"/>
  <c r="F23" i="5"/>
  <c r="D23" i="5"/>
  <c r="F22" i="5"/>
  <c r="B22" i="5"/>
  <c r="D22" i="5" s="1"/>
  <c r="D20" i="5" s="1"/>
  <c r="F21" i="5"/>
  <c r="D21" i="5"/>
  <c r="B21" i="5"/>
  <c r="F20" i="5"/>
  <c r="F19" i="5"/>
  <c r="C19" i="5"/>
  <c r="F18" i="5"/>
  <c r="F17" i="5"/>
  <c r="D17" i="5"/>
  <c r="F16" i="5"/>
  <c r="D16" i="5"/>
  <c r="B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D8" i="5" s="1"/>
  <c r="F8" i="5"/>
  <c r="F7" i="5"/>
  <c r="B7" i="5"/>
  <c r="B19" i="5" s="1"/>
  <c r="D19" i="5" s="1"/>
  <c r="F6" i="5"/>
  <c r="F65" i="4"/>
  <c r="C58" i="4"/>
  <c r="D58" i="4" s="1"/>
  <c r="F58" i="4" s="1"/>
  <c r="F57" i="4"/>
  <c r="C56" i="4"/>
  <c r="B55" i="4"/>
  <c r="D55" i="4" s="1"/>
  <c r="F55" i="4" s="1"/>
  <c r="D54" i="4"/>
  <c r="B54" i="4"/>
  <c r="F52" i="4"/>
  <c r="F51" i="4"/>
  <c r="C51" i="4"/>
  <c r="F50" i="4"/>
  <c r="C50" i="4"/>
  <c r="F49" i="4"/>
  <c r="D49" i="4"/>
  <c r="B49" i="4"/>
  <c r="B56" i="4" s="1"/>
  <c r="D56" i="4" s="1"/>
  <c r="F56" i="4" s="1"/>
  <c r="B48" i="4"/>
  <c r="B6" i="4" s="1"/>
  <c r="D47" i="4"/>
  <c r="F47" i="4" s="1"/>
  <c r="F46" i="4"/>
  <c r="D46" i="4"/>
  <c r="F45" i="4"/>
  <c r="D45" i="4"/>
  <c r="D44" i="4"/>
  <c r="F44" i="4" s="1"/>
  <c r="D43" i="4"/>
  <c r="F43" i="4" s="1"/>
  <c r="F42" i="4"/>
  <c r="D42" i="4"/>
  <c r="F41" i="4"/>
  <c r="D41" i="4"/>
  <c r="D40" i="4"/>
  <c r="F40" i="4" s="1"/>
  <c r="F38" i="4"/>
  <c r="D38" i="4"/>
  <c r="F34" i="4"/>
  <c r="D34" i="4"/>
  <c r="F33" i="4"/>
  <c r="D33" i="4"/>
  <c r="D32" i="4"/>
  <c r="F32" i="4" s="1"/>
  <c r="D31" i="4"/>
  <c r="D30" i="4" s="1"/>
  <c r="F30" i="4" s="1"/>
  <c r="F29" i="4"/>
  <c r="F28" i="4"/>
  <c r="F27" i="4"/>
  <c r="F26" i="4"/>
  <c r="F25" i="4"/>
  <c r="D24" i="4"/>
  <c r="F24" i="4" s="1"/>
  <c r="D23" i="4"/>
  <c r="F23" i="4" s="1"/>
  <c r="B22" i="4"/>
  <c r="D22" i="4" s="1"/>
  <c r="F22" i="4" s="1"/>
  <c r="D21" i="4"/>
  <c r="B21" i="4"/>
  <c r="C19" i="4"/>
  <c r="F18" i="4"/>
  <c r="F17" i="4"/>
  <c r="D17" i="4"/>
  <c r="D16" i="4"/>
  <c r="F16" i="4" s="1"/>
  <c r="D15" i="4"/>
  <c r="F15" i="4" s="1"/>
  <c r="D14" i="4"/>
  <c r="F14" i="4" s="1"/>
  <c r="F13" i="4"/>
  <c r="D13" i="4"/>
  <c r="D12" i="4"/>
  <c r="F12" i="4" s="1"/>
  <c r="D11" i="4"/>
  <c r="F11" i="4" s="1"/>
  <c r="D10" i="4"/>
  <c r="F9" i="4"/>
  <c r="D9" i="4"/>
  <c r="B7" i="4"/>
  <c r="B19" i="4" s="1"/>
  <c r="D19" i="4" s="1"/>
  <c r="F19" i="4" s="1"/>
  <c r="F65" i="3"/>
  <c r="C58" i="3"/>
  <c r="D58" i="3" s="1"/>
  <c r="F58" i="3" s="1"/>
  <c r="F57" i="3"/>
  <c r="D56" i="3"/>
  <c r="F56" i="3" s="1"/>
  <c r="C56" i="3"/>
  <c r="B56" i="3"/>
  <c r="B55" i="3"/>
  <c r="D55" i="3" s="1"/>
  <c r="F55" i="3" s="1"/>
  <c r="D54" i="3"/>
  <c r="D53" i="3" s="1"/>
  <c r="F53" i="3" s="1"/>
  <c r="B54" i="3"/>
  <c r="D52" i="3"/>
  <c r="F52" i="3" s="1"/>
  <c r="D51" i="3"/>
  <c r="D49" i="3" s="1"/>
  <c r="C51" i="3"/>
  <c r="F50" i="3"/>
  <c r="D50" i="3"/>
  <c r="C50" i="3" s="1"/>
  <c r="B49" i="3"/>
  <c r="B48" i="3"/>
  <c r="C47" i="3"/>
  <c r="H47" i="3" s="1"/>
  <c r="C46" i="3"/>
  <c r="H46" i="3" s="1"/>
  <c r="C45" i="3"/>
  <c r="H45" i="3" s="1"/>
  <c r="C44" i="3"/>
  <c r="D44" i="3" s="1"/>
  <c r="F44" i="3" s="1"/>
  <c r="C43" i="3"/>
  <c r="H43" i="3" s="1"/>
  <c r="C42" i="3"/>
  <c r="D42" i="3" s="1"/>
  <c r="F42" i="3" s="1"/>
  <c r="C41" i="3"/>
  <c r="H41" i="3" s="1"/>
  <c r="C40" i="3"/>
  <c r="D40" i="3" s="1"/>
  <c r="H39" i="3"/>
  <c r="C38" i="3"/>
  <c r="H38" i="3" s="1"/>
  <c r="C34" i="3"/>
  <c r="D34" i="3" s="1"/>
  <c r="F34" i="3" s="1"/>
  <c r="F33" i="3"/>
  <c r="D33" i="3"/>
  <c r="D32" i="3"/>
  <c r="F32" i="3" s="1"/>
  <c r="D31" i="3"/>
  <c r="F29" i="3"/>
  <c r="F28" i="3"/>
  <c r="F27" i="3"/>
  <c r="F26" i="3"/>
  <c r="F25" i="3"/>
  <c r="D24" i="3"/>
  <c r="F24" i="3" s="1"/>
  <c r="C24" i="3"/>
  <c r="F23" i="3"/>
  <c r="D23" i="3"/>
  <c r="B22" i="3"/>
  <c r="D22" i="3" s="1"/>
  <c r="F22" i="3" s="1"/>
  <c r="D21" i="3"/>
  <c r="D20" i="3" s="1"/>
  <c r="F20" i="3" s="1"/>
  <c r="B21" i="3"/>
  <c r="C19" i="3"/>
  <c r="F18" i="3"/>
  <c r="F17" i="3"/>
  <c r="D17" i="3"/>
  <c r="D16" i="3"/>
  <c r="F16" i="3" s="1"/>
  <c r="B16" i="3"/>
  <c r="D15" i="3"/>
  <c r="F15" i="3" s="1"/>
  <c r="F14" i="3"/>
  <c r="D14" i="3"/>
  <c r="F13" i="3"/>
  <c r="D13" i="3"/>
  <c r="F12" i="3"/>
  <c r="D12" i="3"/>
  <c r="D11" i="3"/>
  <c r="F11" i="3" s="1"/>
  <c r="F10" i="3"/>
  <c r="D10" i="3"/>
  <c r="F9" i="3"/>
  <c r="D9" i="3"/>
  <c r="B7" i="3"/>
  <c r="B6" i="3" s="1"/>
  <c r="I6" i="2"/>
  <c r="G6" i="2"/>
  <c r="F6" i="2"/>
  <c r="D6" i="2"/>
  <c r="C6" i="2"/>
  <c r="U6" i="2" s="1"/>
  <c r="D62" i="5" l="1"/>
  <c r="C62" i="5" s="1"/>
  <c r="D64" i="5"/>
  <c r="C64" i="5" s="1"/>
  <c r="D61" i="5"/>
  <c r="C61" i="5" s="1"/>
  <c r="D63" i="5"/>
  <c r="C63" i="5" s="1"/>
  <c r="D60" i="5"/>
  <c r="D37" i="5"/>
  <c r="D36" i="5"/>
  <c r="D7" i="5" s="1"/>
  <c r="D35" i="5"/>
  <c r="D39" i="5"/>
  <c r="D38" i="5"/>
  <c r="D46" i="5"/>
  <c r="H40" i="5"/>
  <c r="H42" i="5"/>
  <c r="H44" i="5"/>
  <c r="D53" i="4"/>
  <c r="D20" i="4"/>
  <c r="F20" i="4" s="1"/>
  <c r="D62" i="4"/>
  <c r="D8" i="4"/>
  <c r="D39" i="4"/>
  <c r="F39" i="4" s="1"/>
  <c r="F10" i="4"/>
  <c r="F21" i="4"/>
  <c r="F31" i="4"/>
  <c r="F54" i="4"/>
  <c r="D63" i="4"/>
  <c r="D61" i="4"/>
  <c r="D64" i="4"/>
  <c r="D30" i="3"/>
  <c r="F30" i="3" s="1"/>
  <c r="F31" i="3"/>
  <c r="D62" i="3"/>
  <c r="D64" i="3"/>
  <c r="F49" i="3"/>
  <c r="D61" i="3"/>
  <c r="D60" i="3"/>
  <c r="D63" i="3"/>
  <c r="F40" i="3"/>
  <c r="D46" i="3"/>
  <c r="F46" i="3" s="1"/>
  <c r="D38" i="3"/>
  <c r="F38" i="3" s="1"/>
  <c r="F54" i="3"/>
  <c r="H40" i="3"/>
  <c r="H42" i="3"/>
  <c r="H44" i="3"/>
  <c r="F51" i="3"/>
  <c r="F21" i="3"/>
  <c r="B19" i="3"/>
  <c r="D19" i="3" s="1"/>
  <c r="F19" i="3" s="1"/>
  <c r="D41" i="3"/>
  <c r="F41" i="3" s="1"/>
  <c r="D43" i="3"/>
  <c r="F43" i="3" s="1"/>
  <c r="D45" i="3"/>
  <c r="F45" i="3" s="1"/>
  <c r="D47" i="3"/>
  <c r="F47" i="3" s="1"/>
  <c r="R6" i="2"/>
  <c r="V6" i="2" s="1"/>
  <c r="E6" i="2"/>
  <c r="H6" i="2"/>
  <c r="D59" i="5" l="1"/>
  <c r="D48" i="5" s="1"/>
  <c r="D6" i="5" s="1"/>
  <c r="C60" i="5"/>
  <c r="F64" i="4"/>
  <c r="C64" i="4"/>
  <c r="F61" i="4"/>
  <c r="C61" i="4"/>
  <c r="F8" i="4"/>
  <c r="D37" i="4"/>
  <c r="F37" i="4" s="1"/>
  <c r="D35" i="4"/>
  <c r="F35" i="4" s="1"/>
  <c r="D36" i="4"/>
  <c r="F36" i="4" s="1"/>
  <c r="C62" i="4"/>
  <c r="F62" i="4"/>
  <c r="F63" i="4"/>
  <c r="C63" i="4"/>
  <c r="F53" i="4"/>
  <c r="D60" i="4"/>
  <c r="F61" i="3"/>
  <c r="C61" i="3"/>
  <c r="F64" i="3"/>
  <c r="C64" i="3"/>
  <c r="C62" i="3"/>
  <c r="F62" i="3"/>
  <c r="D39" i="3"/>
  <c r="F39" i="3" s="1"/>
  <c r="F63" i="3"/>
  <c r="C63" i="3"/>
  <c r="D59" i="3"/>
  <c r="C60" i="3"/>
  <c r="F60" i="3"/>
  <c r="D8" i="3"/>
  <c r="D59" i="4" l="1"/>
  <c r="F60" i="4"/>
  <c r="C60" i="4"/>
  <c r="D7" i="4"/>
  <c r="D37" i="3"/>
  <c r="F37" i="3" s="1"/>
  <c r="D36" i="3"/>
  <c r="F36" i="3" s="1"/>
  <c r="F8" i="3"/>
  <c r="D35" i="3"/>
  <c r="F35" i="3" s="1"/>
  <c r="F59" i="3"/>
  <c r="D48" i="3"/>
  <c r="F48" i="3" s="1"/>
  <c r="F7" i="4" l="1"/>
  <c r="F59" i="4"/>
  <c r="D48" i="4"/>
  <c r="F48" i="4" s="1"/>
  <c r="D7" i="3"/>
  <c r="D6" i="4" l="1"/>
  <c r="F6" i="4" s="1"/>
  <c r="F7" i="3"/>
  <c r="D6" i="3"/>
  <c r="F6" i="3" s="1"/>
</calcChain>
</file>

<file path=xl/sharedStrings.xml><?xml version="1.0" encoding="utf-8"?>
<sst xmlns="http://schemas.openxmlformats.org/spreadsheetml/2006/main" count="389" uniqueCount="132">
  <si>
    <t>集团助理级以上人员</t>
  </si>
  <si>
    <t>年度表彰
奖励</t>
  </si>
  <si>
    <t>风险
抵押金</t>
  </si>
  <si>
    <t>安全责任
奖励</t>
  </si>
  <si>
    <t>承包
兑现奖</t>
  </si>
  <si>
    <t>月度
安全奖</t>
  </si>
  <si>
    <t>小计</t>
  </si>
  <si>
    <t>员工</t>
  </si>
  <si>
    <t>年薪</t>
  </si>
  <si>
    <t>合计</t>
  </si>
  <si>
    <t>人工成本</t>
  </si>
  <si>
    <t>人数</t>
  </si>
  <si>
    <t>劳务费</t>
  </si>
  <si>
    <t>正式工
人工
成本合计</t>
    <phoneticPr fontId="2" type="noConversion"/>
  </si>
  <si>
    <t>社会保险及住房公积金</t>
    <phoneticPr fontId="2" type="noConversion"/>
  </si>
  <si>
    <t>三项
经费</t>
  </si>
  <si>
    <t>津、
补贴</t>
  </si>
  <si>
    <t>奖金及其他</t>
  </si>
  <si>
    <t>工资</t>
  </si>
  <si>
    <t>备注</t>
  </si>
  <si>
    <t>差额</t>
  </si>
  <si>
    <t>2024年人工成本总计</t>
  </si>
  <si>
    <t>人工成本总计</t>
  </si>
  <si>
    <t>短期合同工及劳务派遣用工人工成本</t>
  </si>
  <si>
    <t>单位</t>
  </si>
  <si>
    <t>序号</t>
  </si>
  <si>
    <t>内蒙古神东天隆集团股份有限公司大海则煤矿</t>
  </si>
  <si>
    <t>内蒙古神东天隆集团股份有限公司大海则洗煤厂</t>
  </si>
  <si>
    <t>大海则煤矿合计</t>
  </si>
  <si>
    <t>神东天隆集团2025年度大海则人工成本预算总表</t>
    <phoneticPr fontId="2" type="noConversion"/>
  </si>
  <si>
    <t>正式工人工成本</t>
    <phoneticPr fontId="2" type="noConversion"/>
  </si>
  <si>
    <t>附表10</t>
  </si>
  <si>
    <t>附表四</t>
  </si>
  <si>
    <t>人工成本测算表（2025年度）</t>
  </si>
  <si>
    <t>单位名称：内蒙古神东天隆集团股份有限公司大海则煤矿</t>
  </si>
  <si>
    <t>单位：元</t>
  </si>
  <si>
    <t>项目</t>
  </si>
  <si>
    <t>人（月）数</t>
  </si>
  <si>
    <t>标准（元）</t>
  </si>
  <si>
    <t>金额（万元）</t>
  </si>
  <si>
    <t>大海则总</t>
  </si>
  <si>
    <t xml:space="preserve"> 人工成本总计</t>
  </si>
  <si>
    <t>1 正式工人工成本</t>
  </si>
  <si>
    <t>101  工资</t>
  </si>
  <si>
    <t>按照人力资源部”2024年工资标准和单位实际人数</t>
  </si>
  <si>
    <t>10101  单位正职</t>
  </si>
  <si>
    <t>附具体姓名</t>
  </si>
  <si>
    <t>10102  书记</t>
  </si>
  <si>
    <t>10103  单位副职</t>
  </si>
  <si>
    <t>10104  单位助理</t>
  </si>
  <si>
    <t>10105  井下一线</t>
  </si>
  <si>
    <t>附工种明细（含部门、工种、人数）</t>
  </si>
  <si>
    <t>10106  井下辅助</t>
  </si>
  <si>
    <t>10107  机关部门</t>
  </si>
  <si>
    <r>
      <rPr>
        <sz val="10"/>
        <rFont val="等线"/>
        <family val="3"/>
        <charset val="134"/>
      </rPr>
      <t>附工种明细（含部门、工种、人数）</t>
    </r>
    <r>
      <rPr>
        <sz val="10"/>
        <color rgb="FFFF0000"/>
        <rFont val="等线"/>
        <family val="3"/>
        <charset val="134"/>
      </rPr>
      <t>新增加油站4人</t>
    </r>
  </si>
  <si>
    <t>10108  地面生产</t>
  </si>
  <si>
    <t>10109  地面服务</t>
  </si>
  <si>
    <t>10110  其他人员</t>
  </si>
  <si>
    <t>备注清楚内退1人、停薪留职2人</t>
  </si>
  <si>
    <t>10111  年功调整</t>
  </si>
  <si>
    <t>10元*12个月*12年（2014年起）</t>
  </si>
  <si>
    <t>102  津、补贴</t>
  </si>
  <si>
    <t>10201  矿井入井津贴</t>
  </si>
  <si>
    <t>仅限井工性质单位，井下一线30元/工，井下辅助20元/工</t>
  </si>
  <si>
    <t>10202  矿井夜班津贴</t>
  </si>
  <si>
    <t>仅限井工性质单位，前夜10元/工，后夜12元/工</t>
  </si>
  <si>
    <t>10203  职称津贴
            注安津贴</t>
  </si>
  <si>
    <t>高级3000元/人/月，中级1000元/人/月、初级300元/人/月
注册安全工程师1000元/人/月</t>
  </si>
  <si>
    <t>10204 交通补贴</t>
  </si>
  <si>
    <t xml:space="preserve">按神东天隆〔2017〕87 号执行 </t>
  </si>
  <si>
    <t>10205  通讯补贴</t>
  </si>
  <si>
    <t>10205  驻外补贴</t>
  </si>
  <si>
    <t>含维稳补贴（新疆）</t>
  </si>
  <si>
    <t>10206  施工津贴</t>
  </si>
  <si>
    <t>10207  防讯补贴</t>
  </si>
  <si>
    <t>10208  其他津贴</t>
  </si>
  <si>
    <t>如专职司机公里补助等</t>
  </si>
  <si>
    <t>103  奖金</t>
  </si>
  <si>
    <t>10301 月度安全奖</t>
  </si>
  <si>
    <t>依照安质环部“2024年月度安全奖标准”</t>
  </si>
  <si>
    <t>10302 安全责任奖</t>
  </si>
  <si>
    <t>依照安质环部“二级单位2024年安全责任奖标准”</t>
  </si>
  <si>
    <t>10303 年终绩效考核兑现奖</t>
  </si>
  <si>
    <t>10304 风险抵押金</t>
  </si>
  <si>
    <t>依照安质环部“2024年风险抵押金标准”</t>
  </si>
  <si>
    <t>104  福利费</t>
  </si>
  <si>
    <t>按工资总额的14％计提（工资总额中剔除风险抵押金）</t>
  </si>
  <si>
    <t>105  工会经费</t>
  </si>
  <si>
    <t>按工资总额的2％计提（工资总额中剔除风险抵押金）</t>
  </si>
  <si>
    <t>106  职教经费</t>
  </si>
  <si>
    <t>按工资总额的2.5％计提（工资总额中剔除风险抵押金）</t>
  </si>
  <si>
    <t>107  住房公积金</t>
  </si>
  <si>
    <t>按2024年10月报表实际发生数*12个月</t>
  </si>
  <si>
    <t>108  社会保险</t>
  </si>
  <si>
    <t>月份</t>
  </si>
  <si>
    <t>10801  基本养老金</t>
  </si>
  <si>
    <t>10802  企业年金</t>
  </si>
  <si>
    <t>10803  医疗保险</t>
  </si>
  <si>
    <t>10804  补充医疗保险</t>
  </si>
  <si>
    <t>按2024年实际发生数填列</t>
  </si>
  <si>
    <t>10805  失业保险</t>
  </si>
  <si>
    <t>10806  工伤保险</t>
  </si>
  <si>
    <t>10807  生育保险</t>
  </si>
  <si>
    <t>10808  残疾人就业保险</t>
  </si>
  <si>
    <t>2  劳务工人工成本</t>
  </si>
  <si>
    <t>201  基本劳务费</t>
  </si>
  <si>
    <t>20101  井下一线</t>
  </si>
  <si>
    <t>20102  井下辅助</t>
  </si>
  <si>
    <t>20103  地面生产及服务</t>
  </si>
  <si>
    <t>202  津、补贴</t>
  </si>
  <si>
    <t>20201  矿井入井津贴</t>
  </si>
  <si>
    <t>井下一线30元/工，井下辅助20元/工</t>
  </si>
  <si>
    <t>20202  矿井夜班津贴</t>
  </si>
  <si>
    <t>前夜10元/工，后夜20元/工</t>
  </si>
  <si>
    <t>20203  误餐补贴</t>
  </si>
  <si>
    <t>35元/日，按27个工作日测算</t>
  </si>
  <si>
    <t>20204  其他津贴</t>
  </si>
  <si>
    <t>203  劳务服务费</t>
  </si>
  <si>
    <t>附月服务费标准</t>
  </si>
  <si>
    <t>204  社会保险</t>
  </si>
  <si>
    <t>根据各单位具体参保情况修改缴费比例*</t>
  </si>
  <si>
    <t>20301  基本养老金</t>
  </si>
  <si>
    <t>20302  医疗保险金</t>
  </si>
  <si>
    <t>20303  失业保险金</t>
  </si>
  <si>
    <t>20304  工伤保险金</t>
  </si>
  <si>
    <t>20305  生育保险金</t>
  </si>
  <si>
    <t>205   其他</t>
  </si>
  <si>
    <t>单位领导：</t>
  </si>
  <si>
    <t>审核：</t>
  </si>
  <si>
    <t>填报人：               报送日期：   年   月   日</t>
  </si>
  <si>
    <t>附工种明细（含部门、工种、人数）</t>
    <phoneticPr fontId="2" type="noConversion"/>
  </si>
  <si>
    <r>
      <rPr>
        <sz val="10"/>
        <rFont val="等线"/>
        <family val="3"/>
        <charset val="134"/>
      </rPr>
      <t>附工种明细（含部门、工种、人数）</t>
    </r>
    <r>
      <rPr>
        <sz val="6"/>
        <color rgb="FFFF0000"/>
        <rFont val="等线"/>
        <family val="3"/>
        <charset val="134"/>
      </rPr>
      <t>新增洗煤厂36人井辅90%的工资标准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</si>
</sst>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_ "/>
    <numFmt numFmtId="177" formatCode="0.00_ "/>
    <numFmt numFmtId="178" formatCode="0.0_ "/>
    <numFmt numFmtId="179" formatCode="0_);[Red]\(0\)"/>
    <numFmt numFmtId="180" formatCode="0.00_);[Red]\(0.00\)"/>
    <numFmt numFmtId="181" formatCode="_ * #,##0_ ;_ * \-#,##0_ ;_ * &quot;-&quot;??_ ;_ @_ "/>
  </numFmts>
  <fonts count="28">
    <font>
      <sz val="11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黑体"/>
      <family val="3"/>
      <charset val="134"/>
    </font>
    <font>
      <sz val="10.5"/>
      <color indexed="8"/>
      <name val="黑体"/>
      <family val="3"/>
      <charset val="134"/>
    </font>
    <font>
      <sz val="10.5"/>
      <color rgb="FFFF0000"/>
      <name val="黑体"/>
      <family val="3"/>
      <charset val="134"/>
    </font>
    <font>
      <sz val="10.5"/>
      <name val="黑体"/>
      <family val="3"/>
      <charset val="134"/>
    </font>
    <font>
      <sz val="12"/>
      <name val="宋体"/>
      <family val="3"/>
      <charset val="134"/>
    </font>
    <font>
      <b/>
      <sz val="10.5"/>
      <name val="黑体"/>
      <family val="3"/>
      <charset val="134"/>
    </font>
    <font>
      <sz val="9"/>
      <name val="黑体"/>
      <family val="3"/>
      <charset val="134"/>
    </font>
    <font>
      <b/>
      <sz val="10.5"/>
      <color indexed="8"/>
      <name val="黑体"/>
      <family val="3"/>
      <charset val="134"/>
    </font>
    <font>
      <sz val="24"/>
      <color indexed="8"/>
      <name val="黑体"/>
      <family val="3"/>
      <charset val="134"/>
    </font>
    <font>
      <sz val="11"/>
      <color indexed="8"/>
      <name val="等线"/>
      <family val="3"/>
      <charset val="134"/>
    </font>
    <font>
      <sz val="8"/>
      <name val="宋体"/>
      <family val="3"/>
      <charset val="134"/>
    </font>
    <font>
      <b/>
      <sz val="18"/>
      <name val="等线"/>
      <family val="3"/>
      <charset val="134"/>
    </font>
    <font>
      <sz val="8"/>
      <color indexed="8"/>
      <name val="等线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1"/>
      <name val="等线"/>
      <family val="3"/>
      <charset val="134"/>
    </font>
    <font>
      <b/>
      <sz val="11"/>
      <name val="等线"/>
      <family val="3"/>
      <charset val="134"/>
    </font>
    <font>
      <sz val="10"/>
      <name val="等线"/>
      <family val="3"/>
      <charset val="134"/>
    </font>
    <font>
      <sz val="10.5"/>
      <name val="等线"/>
      <family val="3"/>
      <charset val="134"/>
    </font>
    <font>
      <b/>
      <sz val="11"/>
      <color indexed="10"/>
      <name val="等线"/>
      <family val="3"/>
      <charset val="134"/>
    </font>
    <font>
      <sz val="11"/>
      <name val="宋体"/>
      <family val="3"/>
      <charset val="134"/>
    </font>
    <font>
      <sz val="10"/>
      <color rgb="FFFF0000"/>
      <name val="等线"/>
      <family val="3"/>
      <charset val="134"/>
    </font>
    <font>
      <sz val="6"/>
      <color rgb="FFFF0000"/>
      <name val="等线"/>
      <family val="3"/>
      <charset val="134"/>
    </font>
    <font>
      <sz val="11"/>
      <color rgb="FFFF0000"/>
      <name val="等线"/>
      <family val="3"/>
      <charset val="134"/>
    </font>
    <font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12" fillId="0" borderId="0"/>
    <xf numFmtId="0" fontId="7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77" fontId="5" fillId="0" borderId="4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7" fillId="0" borderId="0" xfId="3" applyFont="1"/>
    <xf numFmtId="0" fontId="13" fillId="0" borderId="0" xfId="3" applyFont="1"/>
    <xf numFmtId="177" fontId="13" fillId="0" borderId="0" xfId="3" applyNumberFormat="1" applyFont="1"/>
    <xf numFmtId="0" fontId="15" fillId="2" borderId="0" xfId="3" applyFont="1" applyFill="1" applyAlignment="1" applyProtection="1">
      <alignment vertical="center"/>
      <protection locked="0"/>
    </xf>
    <xf numFmtId="177" fontId="15" fillId="2" borderId="0" xfId="3" applyNumberFormat="1" applyFont="1" applyFill="1" applyAlignment="1" applyProtection="1">
      <alignment vertical="center"/>
      <protection locked="0"/>
    </xf>
    <xf numFmtId="43" fontId="12" fillId="2" borderId="0" xfId="3" applyNumberFormat="1" applyFill="1" applyAlignment="1" applyProtection="1">
      <alignment vertical="center"/>
      <protection locked="0"/>
    </xf>
    <xf numFmtId="0" fontId="12" fillId="2" borderId="0" xfId="3" applyFill="1" applyAlignment="1" applyProtection="1">
      <alignment vertical="center"/>
      <protection locked="0"/>
    </xf>
    <xf numFmtId="0" fontId="16" fillId="0" borderId="0" xfId="3" applyFont="1" applyAlignment="1">
      <alignment horizontal="left" vertical="center"/>
    </xf>
    <xf numFmtId="0" fontId="17" fillId="0" borderId="0" xfId="5" applyFont="1" applyAlignment="1">
      <alignment horizontal="right" vertical="center" wrapText="1"/>
    </xf>
    <xf numFmtId="0" fontId="18" fillId="0" borderId="0" xfId="4" applyFont="1" applyAlignment="1">
      <alignment horizontal="centerContinuous" vertical="center"/>
    </xf>
    <xf numFmtId="43" fontId="18" fillId="0" borderId="0" xfId="6" applyFont="1" applyFill="1" applyAlignment="1" applyProtection="1">
      <alignment horizontal="centerContinuous" vertical="center"/>
    </xf>
    <xf numFmtId="0" fontId="19" fillId="0" borderId="0" xfId="4" applyFont="1" applyAlignment="1">
      <alignment horizontal="right" vertical="center"/>
    </xf>
    <xf numFmtId="0" fontId="15" fillId="2" borderId="0" xfId="3" applyFont="1" applyFill="1" applyAlignment="1">
      <alignment vertical="center"/>
    </xf>
    <xf numFmtId="177" fontId="15" fillId="2" borderId="0" xfId="3" applyNumberFormat="1" applyFont="1" applyFill="1" applyAlignment="1">
      <alignment vertical="center"/>
    </xf>
    <xf numFmtId="0" fontId="12" fillId="2" borderId="0" xfId="3" applyFill="1" applyAlignment="1">
      <alignment vertical="center"/>
    </xf>
    <xf numFmtId="0" fontId="18" fillId="0" borderId="4" xfId="4" applyFont="1" applyBorder="1" applyAlignment="1">
      <alignment horizontal="left" vertical="center" wrapText="1"/>
    </xf>
    <xf numFmtId="179" fontId="20" fillId="0" borderId="4" xfId="4" applyNumberFormat="1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43" fontId="21" fillId="0" borderId="4" xfId="6" applyFont="1" applyFill="1" applyBorder="1" applyAlignment="1" applyProtection="1">
      <alignment horizontal="center" vertical="center"/>
    </xf>
    <xf numFmtId="0" fontId="18" fillId="0" borderId="4" xfId="4" applyFont="1" applyBorder="1" applyAlignment="1">
      <alignment horizontal="center" vertical="center"/>
    </xf>
    <xf numFmtId="0" fontId="19" fillId="0" borderId="4" xfId="4" applyFont="1" applyBorder="1" applyAlignment="1">
      <alignment horizontal="left" vertical="center" wrapText="1"/>
    </xf>
    <xf numFmtId="179" fontId="18" fillId="0" borderId="4" xfId="6" applyNumberFormat="1" applyFont="1" applyFill="1" applyBorder="1" applyAlignment="1" applyProtection="1">
      <alignment horizontal="right" vertical="center"/>
    </xf>
    <xf numFmtId="180" fontId="18" fillId="0" borderId="4" xfId="6" applyNumberFormat="1" applyFont="1" applyFill="1" applyBorder="1" applyAlignment="1" applyProtection="1">
      <alignment horizontal="right" vertical="center"/>
    </xf>
    <xf numFmtId="180" fontId="22" fillId="0" borderId="4" xfId="6" applyNumberFormat="1" applyFont="1" applyFill="1" applyBorder="1" applyAlignment="1" applyProtection="1">
      <alignment horizontal="right" vertical="center"/>
    </xf>
    <xf numFmtId="0" fontId="20" fillId="0" borderId="4" xfId="4" applyFont="1" applyBorder="1" applyAlignment="1">
      <alignment horizontal="center" vertical="center"/>
    </xf>
    <xf numFmtId="0" fontId="19" fillId="3" borderId="4" xfId="4" applyFont="1" applyFill="1" applyBorder="1" applyAlignment="1">
      <alignment horizontal="left" vertical="center" wrapText="1"/>
    </xf>
    <xf numFmtId="179" fontId="18" fillId="3" borderId="4" xfId="4" applyNumberFormat="1" applyFont="1" applyFill="1" applyBorder="1" applyAlignment="1">
      <alignment horizontal="right" vertical="center"/>
    </xf>
    <xf numFmtId="180" fontId="18" fillId="3" borderId="4" xfId="4" applyNumberFormat="1" applyFont="1" applyFill="1" applyBorder="1" applyAlignment="1">
      <alignment horizontal="right" vertical="center"/>
    </xf>
    <xf numFmtId="180" fontId="22" fillId="3" borderId="4" xfId="6" applyNumberFormat="1" applyFont="1" applyFill="1" applyBorder="1" applyAlignment="1" applyProtection="1">
      <alignment horizontal="right" vertical="center"/>
    </xf>
    <xf numFmtId="0" fontId="20" fillId="3" borderId="4" xfId="4" applyFont="1" applyFill="1" applyBorder="1" applyAlignment="1">
      <alignment horizontal="center" vertical="center"/>
    </xf>
    <xf numFmtId="0" fontId="19" fillId="0" borderId="4" xfId="4" applyFont="1" applyBorder="1" applyAlignment="1" applyProtection="1">
      <alignment horizontal="left" vertical="center" wrapText="1"/>
      <protection locked="0"/>
    </xf>
    <xf numFmtId="179" fontId="18" fillId="0" borderId="4" xfId="4" applyNumberFormat="1" applyFont="1" applyBorder="1" applyAlignment="1" applyProtection="1">
      <alignment horizontal="right" vertical="center"/>
      <protection locked="0"/>
    </xf>
    <xf numFmtId="180" fontId="18" fillId="0" borderId="4" xfId="4" applyNumberFormat="1" applyFont="1" applyBorder="1" applyAlignment="1" applyProtection="1">
      <alignment horizontal="right" vertical="center"/>
      <protection locked="0"/>
    </xf>
    <xf numFmtId="180" fontId="19" fillId="0" borderId="4" xfId="6" applyNumberFormat="1" applyFont="1" applyFill="1" applyBorder="1" applyAlignment="1" applyProtection="1">
      <alignment horizontal="right" vertical="center"/>
    </xf>
    <xf numFmtId="0" fontId="20" fillId="0" borderId="4" xfId="4" applyFont="1" applyBorder="1" applyAlignment="1" applyProtection="1">
      <alignment horizontal="left" vertical="center"/>
      <protection locked="0"/>
    </xf>
    <xf numFmtId="0" fontId="18" fillId="4" borderId="4" xfId="4" applyFont="1" applyFill="1" applyBorder="1" applyAlignment="1" applyProtection="1">
      <alignment horizontal="left" vertical="center" wrapText="1"/>
      <protection locked="0"/>
    </xf>
    <xf numFmtId="181" fontId="18" fillId="0" borderId="4" xfId="7" applyNumberFormat="1" applyFont="1" applyFill="1" applyBorder="1" applyAlignment="1">
      <alignment horizontal="right" vertical="center"/>
    </xf>
    <xf numFmtId="180" fontId="23" fillId="0" borderId="4" xfId="3" applyNumberFormat="1" applyFont="1" applyBorder="1" applyAlignment="1">
      <alignment horizontal="right"/>
    </xf>
    <xf numFmtId="180" fontId="18" fillId="0" borderId="4" xfId="6" applyNumberFormat="1" applyFont="1" applyFill="1" applyBorder="1" applyAlignment="1" applyProtection="1">
      <alignment horizontal="right" vertical="center"/>
      <protection locked="0"/>
    </xf>
    <xf numFmtId="0" fontId="20" fillId="0" borderId="4" xfId="4" applyFont="1" applyBorder="1" applyAlignment="1" applyProtection="1">
      <alignment horizontal="center" vertical="center"/>
      <protection locked="0"/>
    </xf>
    <xf numFmtId="0" fontId="20" fillId="0" borderId="4" xfId="4" applyFont="1" applyBorder="1" applyAlignment="1" applyProtection="1">
      <alignment horizontal="left" vertical="center" wrapText="1"/>
      <protection locked="0"/>
    </xf>
    <xf numFmtId="0" fontId="26" fillId="4" borderId="4" xfId="4" applyFont="1" applyFill="1" applyBorder="1" applyAlignment="1" applyProtection="1">
      <alignment horizontal="left" vertical="center" wrapText="1"/>
      <protection locked="0"/>
    </xf>
    <xf numFmtId="180" fontId="19" fillId="0" borderId="4" xfId="6" applyNumberFormat="1" applyFont="1" applyFill="1" applyBorder="1" applyAlignment="1" applyProtection="1">
      <alignment horizontal="right" vertical="center"/>
      <protection locked="0"/>
    </xf>
    <xf numFmtId="0" fontId="18" fillId="0" borderId="4" xfId="4" applyFont="1" applyBorder="1" applyAlignment="1" applyProtection="1">
      <alignment horizontal="left" vertical="center" wrapText="1"/>
      <protection locked="0"/>
    </xf>
    <xf numFmtId="179" fontId="18" fillId="0" borderId="4" xfId="6" applyNumberFormat="1" applyFont="1" applyFill="1" applyBorder="1" applyAlignment="1" applyProtection="1">
      <alignment horizontal="right" vertical="center"/>
      <protection locked="0"/>
    </xf>
    <xf numFmtId="179" fontId="18" fillId="0" borderId="4" xfId="4" applyNumberFormat="1" applyFont="1" applyBorder="1" applyAlignment="1" applyProtection="1">
      <alignment horizontal="center" vertical="center"/>
      <protection locked="0"/>
    </xf>
    <xf numFmtId="0" fontId="19" fillId="3" borderId="4" xfId="4" applyFont="1" applyFill="1" applyBorder="1" applyAlignment="1" applyProtection="1">
      <alignment horizontal="left" vertical="center" wrapText="1"/>
      <protection locked="0"/>
    </xf>
    <xf numFmtId="179" fontId="18" fillId="3" borderId="4" xfId="6" applyNumberFormat="1" applyFont="1" applyFill="1" applyBorder="1" applyAlignment="1" applyProtection="1">
      <alignment horizontal="right" vertical="center"/>
      <protection locked="0"/>
    </xf>
    <xf numFmtId="180" fontId="18" fillId="3" borderId="4" xfId="4" applyNumberFormat="1" applyFont="1" applyFill="1" applyBorder="1" applyAlignment="1" applyProtection="1">
      <alignment horizontal="right" vertical="center"/>
      <protection locked="0"/>
    </xf>
    <xf numFmtId="0" fontId="20" fillId="3" borderId="4" xfId="4" applyFont="1" applyFill="1" applyBorder="1" applyAlignment="1" applyProtection="1">
      <alignment horizontal="center" vertical="center"/>
      <protection locked="0"/>
    </xf>
    <xf numFmtId="0" fontId="20" fillId="5" borderId="4" xfId="4" applyFont="1" applyFill="1" applyBorder="1" applyAlignment="1" applyProtection="1">
      <alignment horizontal="center" vertical="center"/>
      <protection locked="0"/>
    </xf>
    <xf numFmtId="0" fontId="24" fillId="0" borderId="4" xfId="4" applyFont="1" applyBorder="1" applyAlignment="1" applyProtection="1">
      <alignment horizontal="left" vertical="center"/>
      <protection locked="0"/>
    </xf>
    <xf numFmtId="9" fontId="24" fillId="0" borderId="4" xfId="4" applyNumberFormat="1" applyFont="1" applyBorder="1" applyAlignment="1" applyProtection="1">
      <alignment horizontal="left" vertical="center"/>
      <protection locked="0"/>
    </xf>
    <xf numFmtId="10" fontId="24" fillId="0" borderId="4" xfId="4" applyNumberFormat="1" applyFont="1" applyBorder="1" applyAlignment="1" applyProtection="1">
      <alignment horizontal="left" vertical="center"/>
      <protection locked="0"/>
    </xf>
    <xf numFmtId="0" fontId="19" fillId="4" borderId="4" xfId="4" applyFont="1" applyFill="1" applyBorder="1" applyAlignment="1" applyProtection="1">
      <alignment horizontal="left" vertical="center" wrapText="1"/>
      <protection locked="0"/>
    </xf>
    <xf numFmtId="0" fontId="27" fillId="0" borderId="0" xfId="3" applyFont="1" applyAlignment="1">
      <alignment wrapText="1"/>
    </xf>
    <xf numFmtId="0" fontId="27" fillId="0" borderId="0" xfId="3" applyFont="1" applyAlignment="1">
      <alignment horizontal="right"/>
    </xf>
    <xf numFmtId="0" fontId="27" fillId="0" borderId="0" xfId="3" applyFont="1"/>
    <xf numFmtId="0" fontId="7" fillId="0" borderId="0" xfId="3" applyFont="1" applyAlignment="1">
      <alignment wrapText="1"/>
    </xf>
    <xf numFmtId="0" fontId="7" fillId="0" borderId="0" xfId="3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wrapText="1"/>
    </xf>
    <xf numFmtId="176" fontId="6" fillId="0" borderId="4" xfId="1" applyNumberFormat="1" applyFont="1" applyBorder="1" applyAlignment="1">
      <alignment horizontal="center" vertical="center" wrapText="1"/>
    </xf>
    <xf numFmtId="0" fontId="12" fillId="2" borderId="0" xfId="3" applyFill="1" applyAlignment="1" applyProtection="1">
      <alignment horizontal="left" vertical="center" wrapText="1"/>
      <protection locked="0"/>
    </xf>
    <xf numFmtId="0" fontId="12" fillId="2" borderId="0" xfId="3" applyFill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 wrapText="1"/>
      <protection locked="0"/>
    </xf>
    <xf numFmtId="0" fontId="14" fillId="0" borderId="0" xfId="4" applyFont="1" applyAlignment="1" applyProtection="1">
      <alignment horizontal="center" vertical="center"/>
      <protection locked="0"/>
    </xf>
  </cellXfs>
  <cellStyles count="8">
    <cellStyle name="常规" xfId="0" builtinId="0"/>
    <cellStyle name="常规 2" xfId="2"/>
    <cellStyle name="常规 2 10 2 2" xfId="5"/>
    <cellStyle name="常规 3" xfId="3"/>
    <cellStyle name="常规 62 2" xfId="4"/>
    <cellStyle name="常规_神东天隆集团公司劳资报表(12月)" xfId="1"/>
    <cellStyle name="千位分隔 3" xfId="7"/>
    <cellStyle name="千位分隔 49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fing/&#26700;&#38754;/1&#22522;&#26412;&#20859;&#32769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2025&#65289;&#20154;&#24037;&#25104;&#26412;&#39044;&#31639;&#24635;&#34920;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20154;&#24037;&#25104;&#26412;&#39044;&#31639;&#21644;&#26426;&#26500;&#35774;&#32622;&#26126;&#32454;&#34920;&#27169;&#26495;&#65288;&#22823;&#28023;&#21017;&#65289;12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21171;&#21153;&#36153;&#27979;&#31639;&#26126;&#32454;%20&#65288;&#2463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转移明细表"/>
      <sheetName val="李万才"/>
      <sheetName val="06基数"/>
      <sheetName val="转移"/>
      <sheetName val="高建雄"/>
      <sheetName val="周宗超"/>
      <sheetName val="艾克林"/>
      <sheetName val="扣款调整"/>
      <sheetName val="地方"/>
      <sheetName val="05基数"/>
      <sheetName val="04年收入"/>
      <sheetName val="05年1-3基数"/>
      <sheetName val="缴费情况"/>
      <sheetName val="汇总"/>
      <sheetName val="补缴"/>
      <sheetName val="吕月英"/>
      <sheetName val="张晓红"/>
      <sheetName val="方忠海"/>
      <sheetName val="杨劲飞"/>
      <sheetName val="杜成海"/>
      <sheetName val="何文飞"/>
      <sheetName val="李风才"/>
      <sheetName val="工资收入"/>
      <sheetName val="04基数"/>
      <sheetName val="04年缴费汇总"/>
      <sheetName val="03调动明细"/>
      <sheetName val="任1"/>
      <sheetName val="任2"/>
      <sheetName val="缴比"/>
      <sheetName val="间断补缴"/>
      <sheetName val="补缴汇总"/>
      <sheetName val="补缴明细"/>
      <sheetName val="封面"/>
      <sheetName val="03年过录卡"/>
      <sheetName val="03年1-3月基数上报"/>
      <sheetName val="02年增减名册"/>
      <sheetName val="02年台帐"/>
      <sheetName val="02年过录卡"/>
      <sheetName val="年终补缴"/>
      <sheetName val="新参统"/>
      <sheetName val="内核"/>
      <sheetName val="总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分类汇总表"/>
      <sheetName val="对比表"/>
      <sheetName val="人工成本总表"/>
      <sheetName val="工资"/>
      <sheetName val="年薪"/>
      <sheetName val="集团机关及参照单位"/>
      <sheetName val="矿业生产类"/>
      <sheetName val="利润考核类"/>
      <sheetName val="经费类"/>
      <sheetName val="津、补贴"/>
      <sheetName val="奖金"/>
      <sheetName val="三项经费"/>
      <sheetName val="统筹"/>
      <sheetName val="劳务费"/>
      <sheetName val="劳务工奖金"/>
      <sheetName val="二级单位年薪"/>
      <sheetName val="集团机关年薪"/>
      <sheetName val="班中餐调"/>
      <sheetName val="劳保调"/>
      <sheetName val="二级单位风险抵押金"/>
      <sheetName val="二级单位安全责任状奖励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集团助理级以上人员</v>
          </cell>
          <cell r="C5">
            <v>25</v>
          </cell>
          <cell r="D5">
            <v>1628.1799999999998</v>
          </cell>
          <cell r="E5">
            <v>23</v>
          </cell>
          <cell r="F5">
            <v>1453.2730000000001</v>
          </cell>
        </row>
        <row r="6">
          <cell r="B6" t="str">
            <v>集团机关</v>
          </cell>
          <cell r="C6">
            <v>65</v>
          </cell>
          <cell r="D6">
            <v>2893.58</v>
          </cell>
          <cell r="E6">
            <v>68</v>
          </cell>
          <cell r="F6">
            <v>2866.8730000000005</v>
          </cell>
        </row>
        <row r="7">
          <cell r="B7" t="str">
            <v>财务部派出人员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B8" t="str">
            <v>转岗人员</v>
          </cell>
          <cell r="C8">
            <v>3</v>
          </cell>
          <cell r="D8">
            <v>54.667499999999997</v>
          </cell>
          <cell r="E8">
            <v>27</v>
          </cell>
          <cell r="F8">
            <v>987.46800000000007</v>
          </cell>
        </row>
        <row r="9">
          <cell r="B9" t="str">
            <v>劳人在册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 t="str">
            <v>集团本部合计</v>
          </cell>
          <cell r="C10">
            <v>68</v>
          </cell>
          <cell r="D10">
            <v>2948.2474999999999</v>
          </cell>
          <cell r="E10">
            <v>95</v>
          </cell>
          <cell r="F10">
            <v>3854.3410000000003</v>
          </cell>
        </row>
        <row r="11">
          <cell r="B11" t="str">
            <v>神东天隆集团有限责任公司北京办事处</v>
          </cell>
          <cell r="C11">
            <v>1</v>
          </cell>
          <cell r="D11">
            <v>22.8</v>
          </cell>
          <cell r="E11">
            <v>1</v>
          </cell>
          <cell r="F11">
            <v>22.8</v>
          </cell>
        </row>
        <row r="12">
          <cell r="B12" t="str">
            <v>内蒙古神东天隆集团股份有限公司煤炭运销分公司</v>
          </cell>
          <cell r="C12">
            <v>7</v>
          </cell>
          <cell r="D12">
            <v>229.27</v>
          </cell>
          <cell r="E12">
            <v>13</v>
          </cell>
          <cell r="F12">
            <v>402.8</v>
          </cell>
        </row>
        <row r="13">
          <cell r="B13" t="str">
            <v>内蒙古神东天隆集团股份有限公司中实煤炭有限责任公司</v>
          </cell>
          <cell r="C13">
            <v>3</v>
          </cell>
          <cell r="D13">
            <v>95</v>
          </cell>
          <cell r="E13">
            <v>0</v>
          </cell>
          <cell r="F13">
            <v>0</v>
          </cell>
        </row>
        <row r="14">
          <cell r="B14" t="str">
            <v>海南神东天隆投资有限责任公司</v>
          </cell>
          <cell r="C14">
            <v>0</v>
          </cell>
          <cell r="D14">
            <v>0</v>
          </cell>
          <cell r="E14">
            <v>1</v>
          </cell>
          <cell r="F14">
            <v>22.8</v>
          </cell>
        </row>
        <row r="15">
          <cell r="B15" t="str">
            <v>内蒙古神东天隆集团股份有限公司乌鲁木齐分公司</v>
          </cell>
          <cell r="C15">
            <v>4</v>
          </cell>
          <cell r="D15">
            <v>131.33000000000001</v>
          </cell>
          <cell r="E15">
            <v>5</v>
          </cell>
          <cell r="F15">
            <v>144.4</v>
          </cell>
        </row>
        <row r="16">
          <cell r="B16" t="str">
            <v>内蒙古神东天隆集团股份有限公司武家塔露天煤矿</v>
          </cell>
          <cell r="C16">
            <v>9</v>
          </cell>
          <cell r="D16">
            <v>300.02999999999997</v>
          </cell>
          <cell r="E16">
            <v>9</v>
          </cell>
          <cell r="F16">
            <v>304.20999999999998</v>
          </cell>
        </row>
        <row r="17">
          <cell r="B17" t="str">
            <v>内蒙古神东天隆集团股份有限公司霍洛湾煤矿</v>
          </cell>
          <cell r="C17">
            <v>11</v>
          </cell>
          <cell r="D17">
            <v>384.05</v>
          </cell>
          <cell r="E17">
            <v>13</v>
          </cell>
          <cell r="F17">
            <v>433.39</v>
          </cell>
        </row>
        <row r="18">
          <cell r="B18" t="str">
            <v>内蒙古神东天隆集团股份有限公司大海则煤矿</v>
          </cell>
          <cell r="C18">
            <v>10</v>
          </cell>
          <cell r="D18">
            <v>318.88</v>
          </cell>
          <cell r="E18">
            <v>10</v>
          </cell>
          <cell r="F18">
            <v>318.88</v>
          </cell>
        </row>
        <row r="19">
          <cell r="B19" t="str">
            <v>神东天隆集团机电安装工程有限责任公司</v>
          </cell>
          <cell r="C19">
            <v>10</v>
          </cell>
          <cell r="D19">
            <v>299.43</v>
          </cell>
          <cell r="E19">
            <v>6</v>
          </cell>
          <cell r="F19">
            <v>194.44</v>
          </cell>
        </row>
        <row r="20">
          <cell r="B20" t="str">
            <v>陕西神东天隆矿建工程有限责任公司</v>
          </cell>
          <cell r="C20">
            <v>10</v>
          </cell>
          <cell r="D20">
            <v>256.63</v>
          </cell>
          <cell r="E20">
            <v>6</v>
          </cell>
          <cell r="F20">
            <v>149.99</v>
          </cell>
        </row>
        <row r="21">
          <cell r="B21" t="str">
            <v>神东天隆集团矿山支护材料有限责任公司</v>
          </cell>
          <cell r="C21">
            <v>6</v>
          </cell>
          <cell r="D21">
            <v>136.11000000000001</v>
          </cell>
          <cell r="E21">
            <v>4</v>
          </cell>
          <cell r="F21">
            <v>88.89</v>
          </cell>
        </row>
        <row r="22">
          <cell r="B22" t="str">
            <v>鄂尔多斯市神东天隆矿山机械有限责任公司</v>
          </cell>
          <cell r="C22">
            <v>7</v>
          </cell>
          <cell r="D22">
            <v>158.33000000000001</v>
          </cell>
          <cell r="E22">
            <v>8</v>
          </cell>
          <cell r="F22">
            <v>175</v>
          </cell>
        </row>
        <row r="23">
          <cell r="B23" t="str">
            <v>内蒙古天隆煤机维修有限责任公司</v>
          </cell>
          <cell r="C23">
            <v>6</v>
          </cell>
          <cell r="D23">
            <v>144.44</v>
          </cell>
          <cell r="E23">
            <v>5</v>
          </cell>
          <cell r="F23">
            <v>119.44</v>
          </cell>
        </row>
        <row r="24">
          <cell r="B24" t="str">
            <v>神东天隆集团有限责任公司物流配送中心</v>
          </cell>
          <cell r="C24">
            <v>5</v>
          </cell>
          <cell r="D24">
            <v>139.55000000000001</v>
          </cell>
          <cell r="E24">
            <v>0</v>
          </cell>
          <cell r="F24">
            <v>0</v>
          </cell>
        </row>
        <row r="25">
          <cell r="B25" t="str">
            <v>鄂尔多斯市神东天隆化工有限责任公司</v>
          </cell>
          <cell r="C25">
            <v>7</v>
          </cell>
          <cell r="D25">
            <v>164.9</v>
          </cell>
          <cell r="E25">
            <v>6</v>
          </cell>
          <cell r="F25">
            <v>146.22999999999999</v>
          </cell>
        </row>
        <row r="26">
          <cell r="B26" t="str">
            <v>神东天隆集团伊金霍洛旗水务有限责任公司</v>
          </cell>
          <cell r="C26">
            <v>4</v>
          </cell>
          <cell r="D26">
            <v>93.35</v>
          </cell>
          <cell r="E26">
            <v>1</v>
          </cell>
          <cell r="F26">
            <v>24</v>
          </cell>
        </row>
        <row r="27">
          <cell r="B27" t="str">
            <v>新疆腐植酸科技有限责任公司</v>
          </cell>
          <cell r="C27">
            <v>2</v>
          </cell>
          <cell r="D27">
            <v>33.340000000000003</v>
          </cell>
          <cell r="E27">
            <v>0</v>
          </cell>
          <cell r="F27">
            <v>0</v>
          </cell>
        </row>
        <row r="28">
          <cell r="B28" t="str">
            <v>神东天隆府谷天桥新材料有限公司</v>
          </cell>
          <cell r="C28">
            <v>2</v>
          </cell>
          <cell r="D28">
            <v>38.89</v>
          </cell>
          <cell r="E28">
            <v>3</v>
          </cell>
          <cell r="F28">
            <v>55.56</v>
          </cell>
        </row>
        <row r="29">
          <cell r="B29" t="str">
            <v>鄂尔多斯市神东天隆煤炭经销有限公司</v>
          </cell>
          <cell r="C29">
            <v>10</v>
          </cell>
          <cell r="D29">
            <v>242.98</v>
          </cell>
          <cell r="E29">
            <v>0</v>
          </cell>
          <cell r="F29">
            <v>0</v>
          </cell>
        </row>
        <row r="30">
          <cell r="B30" t="str">
            <v>神东天隆集团工程建设有限公司</v>
          </cell>
          <cell r="C30">
            <v>7</v>
          </cell>
          <cell r="D30">
            <v>156</v>
          </cell>
          <cell r="E30">
            <v>9</v>
          </cell>
          <cell r="F30">
            <v>210</v>
          </cell>
        </row>
        <row r="31">
          <cell r="B31" t="str">
            <v>神东天隆集团鄂尔多斯市胜源建安有限公司</v>
          </cell>
          <cell r="C31">
            <v>2</v>
          </cell>
          <cell r="D31">
            <v>51</v>
          </cell>
          <cell r="E31">
            <v>1</v>
          </cell>
          <cell r="F31">
            <v>24</v>
          </cell>
        </row>
        <row r="32">
          <cell r="B32" t="str">
            <v>镶黄旗石材公司</v>
          </cell>
          <cell r="C32">
            <v>1</v>
          </cell>
          <cell r="D32">
            <v>24</v>
          </cell>
          <cell r="E32">
            <v>0</v>
          </cell>
          <cell r="F32">
            <v>0</v>
          </cell>
        </row>
        <row r="33">
          <cell r="B33" t="str">
            <v>神东天隆集团文化创意有限责任公司</v>
          </cell>
          <cell r="C33">
            <v>4</v>
          </cell>
          <cell r="D33">
            <v>97.22</v>
          </cell>
          <cell r="E33">
            <v>2</v>
          </cell>
          <cell r="F33">
            <v>50</v>
          </cell>
        </row>
        <row r="34">
          <cell r="B34" t="str">
            <v>内蒙古神东天隆集团股份有限公司物业分公司</v>
          </cell>
          <cell r="C34">
            <v>9</v>
          </cell>
          <cell r="D34">
            <v>259.22000000000003</v>
          </cell>
          <cell r="E34">
            <v>5</v>
          </cell>
          <cell r="F34">
            <v>96.01</v>
          </cell>
        </row>
        <row r="35">
          <cell r="B35" t="str">
            <v>鄂尔多斯市天隆房地产开发有限责任公司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>鄂尔多斯市昶安建设监理有限公司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B37" t="str">
            <v>内蒙古神东天隆集团股份有限公司物资采购中心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>新疆众邦矿业筹建处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205</v>
          </cell>
          <cell r="D39">
            <v>6724.9975000000004</v>
          </cell>
          <cell r="E39">
            <v>203</v>
          </cell>
          <cell r="F39">
            <v>6837.1810000000005</v>
          </cell>
        </row>
      </sheetData>
      <sheetData sheetId="6">
        <row r="6">
          <cell r="C6">
            <v>23</v>
          </cell>
          <cell r="D6">
            <v>1453.2730000000001</v>
          </cell>
        </row>
      </sheetData>
      <sheetData sheetId="7">
        <row r="6">
          <cell r="C6">
            <v>339</v>
          </cell>
        </row>
      </sheetData>
      <sheetData sheetId="8">
        <row r="6">
          <cell r="C6">
            <v>62</v>
          </cell>
        </row>
      </sheetData>
      <sheetData sheetId="9">
        <row r="6">
          <cell r="C6">
            <v>158</v>
          </cell>
        </row>
      </sheetData>
      <sheetData sheetId="10">
        <row r="4">
          <cell r="B4" t="str">
            <v>集团机关</v>
          </cell>
        </row>
      </sheetData>
      <sheetData sheetId="11">
        <row r="4">
          <cell r="F4">
            <v>135.07</v>
          </cell>
        </row>
      </sheetData>
      <sheetData sheetId="12">
        <row r="4">
          <cell r="B4" t="str">
            <v>集团机关</v>
          </cell>
        </row>
      </sheetData>
      <sheetData sheetId="13">
        <row r="4">
          <cell r="L4">
            <v>3431.96</v>
          </cell>
        </row>
      </sheetData>
      <sheetData sheetId="14">
        <row r="5">
          <cell r="B5" t="str">
            <v>神东天隆集团有限责任公司北京办事处</v>
          </cell>
        </row>
      </sheetData>
      <sheetData sheetId="15"/>
      <sheetData sheetId="16"/>
      <sheetData sheetId="17"/>
      <sheetData sheetId="18"/>
      <sheetData sheetId="19"/>
      <sheetData sheetId="20">
        <row r="30">
          <cell r="T30">
            <v>837.04000000000008</v>
          </cell>
        </row>
      </sheetData>
      <sheetData sheetId="21">
        <row r="31">
          <cell r="T31">
            <v>1493.8400000000004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工成本表 (大海则-总1+2)"/>
      <sheetName val="人工成本表 (大海则)"/>
      <sheetName val="人工成本表 (大海则选煤厂)"/>
      <sheetName val="人工成本表 (管理费用-1)"/>
      <sheetName val="人工成本表 (生产-2)"/>
      <sheetName val="机构设置与岗位明细"/>
    </sheetNames>
    <sheetDataSet>
      <sheetData sheetId="0">
        <row r="31">
          <cell r="C31">
            <v>163213</v>
          </cell>
        </row>
        <row r="34">
          <cell r="C34">
            <v>2315000</v>
          </cell>
        </row>
        <row r="38">
          <cell r="C38">
            <v>1210877</v>
          </cell>
        </row>
        <row r="40">
          <cell r="C40">
            <v>1540102.88</v>
          </cell>
        </row>
        <row r="41">
          <cell r="C41">
            <v>852119.2</v>
          </cell>
        </row>
        <row r="42">
          <cell r="C42">
            <v>647005.61</v>
          </cell>
        </row>
        <row r="43">
          <cell r="C43">
            <v>524240.32</v>
          </cell>
        </row>
        <row r="44">
          <cell r="C44">
            <v>48859.32</v>
          </cell>
        </row>
        <row r="45">
          <cell r="C45">
            <v>146966.63</v>
          </cell>
        </row>
        <row r="46">
          <cell r="C46">
            <v>4505.24</v>
          </cell>
        </row>
        <row r="47">
          <cell r="C47">
            <v>105450</v>
          </cell>
        </row>
      </sheetData>
      <sheetData sheetId="1">
        <row r="6">
          <cell r="D6">
            <v>15790.513068736</v>
          </cell>
        </row>
        <row r="7">
          <cell r="D7">
            <v>14814.390748</v>
          </cell>
        </row>
        <row r="8">
          <cell r="D8">
            <v>6765.31</v>
          </cell>
        </row>
        <row r="9">
          <cell r="D9">
            <v>38.89</v>
          </cell>
        </row>
        <row r="10">
          <cell r="D10">
            <v>70</v>
          </cell>
        </row>
        <row r="11">
          <cell r="D11">
            <v>186.67</v>
          </cell>
        </row>
        <row r="12">
          <cell r="D12">
            <v>23.33</v>
          </cell>
        </row>
        <row r="13">
          <cell r="D13">
            <v>3195.95</v>
          </cell>
        </row>
        <row r="14">
          <cell r="D14">
            <v>2444.12</v>
          </cell>
        </row>
        <row r="15">
          <cell r="D15">
            <v>205.8</v>
          </cell>
        </row>
        <row r="16">
          <cell r="D16">
            <v>401.19</v>
          </cell>
        </row>
        <row r="17">
          <cell r="D17">
            <v>125.92</v>
          </cell>
        </row>
        <row r="18">
          <cell r="D18">
            <v>4.18</v>
          </cell>
        </row>
        <row r="19">
          <cell r="D19">
            <v>69.260000000000005</v>
          </cell>
        </row>
        <row r="20">
          <cell r="D20">
            <v>406.32159999999999</v>
          </cell>
        </row>
        <row r="21">
          <cell r="D21">
            <v>265.84800000000001</v>
          </cell>
        </row>
        <row r="22">
          <cell r="D22">
            <v>77.633600000000001</v>
          </cell>
        </row>
        <row r="23">
          <cell r="D23">
            <v>21.84</v>
          </cell>
        </row>
        <row r="24">
          <cell r="D24">
            <v>41</v>
          </cell>
        </row>
        <row r="30">
          <cell r="D30">
            <v>495.41559999999998</v>
          </cell>
        </row>
        <row r="31">
          <cell r="D31">
            <v>191.41560000000001</v>
          </cell>
        </row>
        <row r="32">
          <cell r="D32">
            <v>82</v>
          </cell>
        </row>
        <row r="33">
          <cell r="D33">
            <v>0</v>
          </cell>
        </row>
        <row r="34">
          <cell r="D34">
            <v>222</v>
          </cell>
        </row>
        <row r="35">
          <cell r="D35">
            <v>1030.8266080000001</v>
          </cell>
        </row>
        <row r="36">
          <cell r="D36">
            <v>153.34094400000001</v>
          </cell>
        </row>
        <row r="37">
          <cell r="D37">
            <v>191.67617999999999</v>
          </cell>
        </row>
        <row r="38">
          <cell r="D38">
            <v>1375.669836</v>
          </cell>
        </row>
        <row r="39">
          <cell r="D39">
            <v>4395.8299800000004</v>
          </cell>
        </row>
        <row r="40">
          <cell r="D40">
            <v>1749.7013159999999</v>
          </cell>
        </row>
        <row r="41">
          <cell r="D41">
            <v>968.08732799999996</v>
          </cell>
        </row>
        <row r="42">
          <cell r="D42">
            <v>735.05905199999995</v>
          </cell>
        </row>
        <row r="43">
          <cell r="D43">
            <v>595.58617200000003</v>
          </cell>
        </row>
        <row r="44">
          <cell r="D44">
            <v>55.508772</v>
          </cell>
        </row>
        <row r="45">
          <cell r="D45">
            <v>166.96788000000001</v>
          </cell>
        </row>
        <row r="46">
          <cell r="D46">
            <v>5.1183719999999999</v>
          </cell>
        </row>
        <row r="47">
          <cell r="D47">
            <v>119.80108799999999</v>
          </cell>
        </row>
        <row r="48">
          <cell r="D48">
            <v>976.12232073600001</v>
          </cell>
        </row>
        <row r="49">
          <cell r="D49">
            <v>636.27638400000001</v>
          </cell>
        </row>
        <row r="50">
          <cell r="D50">
            <v>534.65605200000005</v>
          </cell>
        </row>
        <row r="51">
          <cell r="D51">
            <v>24.940224000000001</v>
          </cell>
        </row>
        <row r="52">
          <cell r="D52">
            <v>76.680108000000004</v>
          </cell>
        </row>
        <row r="53">
          <cell r="D53">
            <v>141.05879999999999</v>
          </cell>
        </row>
        <row r="54">
          <cell r="D54">
            <v>50.22</v>
          </cell>
        </row>
        <row r="55">
          <cell r="D55">
            <v>12.5928</v>
          </cell>
        </row>
        <row r="56">
          <cell r="D56">
            <v>78.245999999999995</v>
          </cell>
        </row>
        <row r="57">
          <cell r="D57">
            <v>0</v>
          </cell>
        </row>
        <row r="58">
          <cell r="D58">
            <v>1.3440000000000001</v>
          </cell>
        </row>
        <row r="59">
          <cell r="D59">
            <v>197.44313673600001</v>
          </cell>
        </row>
        <row r="60">
          <cell r="D60">
            <v>124.37362944</v>
          </cell>
        </row>
        <row r="61">
          <cell r="D61">
            <v>46.640111040000001</v>
          </cell>
        </row>
        <row r="62">
          <cell r="D62">
            <v>3.8866759200000001</v>
          </cell>
        </row>
        <row r="63">
          <cell r="D63">
            <v>14.769368496</v>
          </cell>
        </row>
        <row r="64">
          <cell r="D64">
            <v>7.7733518400000001</v>
          </cell>
        </row>
      </sheetData>
      <sheetData sheetId="2">
        <row r="6">
          <cell r="D6">
            <v>826.60297400000002</v>
          </cell>
        </row>
        <row r="7">
          <cell r="D7">
            <v>826.60297400000002</v>
          </cell>
        </row>
        <row r="8">
          <cell r="D8">
            <v>409.21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404.03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5.18</v>
          </cell>
        </row>
        <row r="20">
          <cell r="D20">
            <v>1.56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1.56</v>
          </cell>
        </row>
        <row r="24">
          <cell r="D24">
            <v>0</v>
          </cell>
        </row>
        <row r="30">
          <cell r="D30">
            <v>13.94</v>
          </cell>
        </row>
        <row r="31">
          <cell r="C31">
            <v>3700</v>
          </cell>
          <cell r="D31">
            <v>4.4400000000000004</v>
          </cell>
        </row>
        <row r="32">
          <cell r="D32">
            <v>0</v>
          </cell>
        </row>
        <row r="33">
          <cell r="D33">
            <v>0</v>
          </cell>
        </row>
        <row r="34">
          <cell r="C34">
            <v>95000</v>
          </cell>
          <cell r="D34">
            <v>9.5</v>
          </cell>
        </row>
        <row r="35">
          <cell r="D35">
            <v>58.129399999999997</v>
          </cell>
        </row>
        <row r="36">
          <cell r="D36">
            <v>8.4941999999999993</v>
          </cell>
        </row>
        <row r="37">
          <cell r="D37">
            <v>10.617749999999999</v>
          </cell>
        </row>
        <row r="38">
          <cell r="C38">
            <v>64485.47</v>
          </cell>
          <cell r="D38">
            <v>77.382564000000002</v>
          </cell>
        </row>
        <row r="39">
          <cell r="D39">
            <v>247.26906</v>
          </cell>
        </row>
        <row r="40">
          <cell r="C40">
            <v>82018.45</v>
          </cell>
          <cell r="D40">
            <v>98.422139999999999</v>
          </cell>
        </row>
        <row r="41">
          <cell r="C41">
            <v>45379.76</v>
          </cell>
          <cell r="D41">
            <v>54.455711999999998</v>
          </cell>
        </row>
        <row r="42">
          <cell r="C42">
            <v>34456.400000000001</v>
          </cell>
          <cell r="D42">
            <v>41.347679999999997</v>
          </cell>
        </row>
        <row r="43">
          <cell r="C43">
            <v>27918.51</v>
          </cell>
          <cell r="D43">
            <v>33.502212</v>
          </cell>
        </row>
        <row r="44">
          <cell r="C44">
            <v>2602.0100000000002</v>
          </cell>
          <cell r="D44">
            <v>3.1224120000000002</v>
          </cell>
        </row>
        <row r="45">
          <cell r="C45">
            <v>7826.73</v>
          </cell>
          <cell r="D45">
            <v>9.3920759999999994</v>
          </cell>
        </row>
        <row r="46">
          <cell r="C46">
            <v>239.93</v>
          </cell>
          <cell r="D46">
            <v>0.28791600000000001</v>
          </cell>
        </row>
        <row r="47">
          <cell r="C47">
            <v>5615.76</v>
          </cell>
          <cell r="D47">
            <v>6.738912</v>
          </cell>
        </row>
        <row r="48">
          <cell r="D48">
            <v>0</v>
          </cell>
        </row>
        <row r="49">
          <cell r="D49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武家塔"/>
      <sheetName val="霍洛湾"/>
      <sheetName val="大海则"/>
    </sheetNames>
    <sheetDataSet>
      <sheetData sheetId="0"/>
      <sheetData sheetId="1"/>
      <sheetData sheetId="2">
        <row r="17">
          <cell r="H17">
            <v>5346560.5199999996</v>
          </cell>
        </row>
        <row r="30">
          <cell r="H30">
            <v>249402.23999999999</v>
          </cell>
        </row>
        <row r="40">
          <cell r="H40">
            <v>766801.08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selection activeCell="H14" sqref="H14"/>
    </sheetView>
  </sheetViews>
  <sheetFormatPr defaultColWidth="8.265625" defaultRowHeight="13.5"/>
  <cols>
    <col min="1" max="1" width="4.59765625" style="1" customWidth="1"/>
    <col min="2" max="2" width="39.265625" style="1" customWidth="1"/>
    <col min="3" max="3" width="5.9296875" style="1" customWidth="1"/>
    <col min="4" max="4" width="5.265625" style="1" customWidth="1"/>
    <col min="5" max="5" width="5.73046875" style="1" customWidth="1"/>
    <col min="6" max="6" width="10.265625" style="1" customWidth="1"/>
    <col min="7" max="7" width="8.73046875" style="1" customWidth="1"/>
    <col min="8" max="8" width="10.19921875" style="1" customWidth="1"/>
    <col min="9" max="9" width="9.59765625" style="1" customWidth="1"/>
    <col min="10" max="10" width="9.06640625" style="1" customWidth="1"/>
    <col min="11" max="11" width="9.59765625" style="1" customWidth="1"/>
    <col min="12" max="12" width="8.9296875" style="1" customWidth="1"/>
    <col min="13" max="13" width="8.796875" style="1" customWidth="1"/>
    <col min="14" max="14" width="7.73046875" style="1" customWidth="1"/>
    <col min="15" max="16" width="8.59765625" style="1" customWidth="1"/>
    <col min="17" max="17" width="9.9296875" style="1" customWidth="1"/>
    <col min="18" max="18" width="10.796875" style="1" customWidth="1"/>
    <col min="19" max="19" width="6" style="1" customWidth="1"/>
    <col min="20" max="20" width="10" style="1" customWidth="1"/>
    <col min="21" max="21" width="6.59765625" style="2" customWidth="1"/>
    <col min="22" max="22" width="10.59765625" style="1" customWidth="1"/>
    <col min="23" max="23" width="10.59765625" style="1" hidden="1" customWidth="1"/>
    <col min="24" max="24" width="11.19921875" style="1" hidden="1" customWidth="1"/>
    <col min="25" max="25" width="7" style="1" customWidth="1"/>
    <col min="26" max="255" width="9" style="1" customWidth="1"/>
    <col min="256" max="16384" width="8.265625" style="1"/>
  </cols>
  <sheetData>
    <row r="1" spans="1:26" ht="45" customHeight="1">
      <c r="A1" s="87" t="s">
        <v>29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6" s="22" customFormat="1" ht="19.05" customHeight="1" thickBo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6" s="3" customFormat="1" ht="47.55" customHeight="1">
      <c r="A3" s="88" t="s">
        <v>25</v>
      </c>
      <c r="B3" s="90" t="s">
        <v>24</v>
      </c>
      <c r="C3" s="90" t="s">
        <v>30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2" t="s">
        <v>23</v>
      </c>
      <c r="T3" s="92"/>
      <c r="U3" s="92" t="s">
        <v>22</v>
      </c>
      <c r="V3" s="92"/>
      <c r="W3" s="92" t="s">
        <v>21</v>
      </c>
      <c r="X3" s="92" t="s">
        <v>20</v>
      </c>
      <c r="Y3" s="94" t="s">
        <v>19</v>
      </c>
    </row>
    <row r="4" spans="1:26" s="3" customFormat="1" ht="38.549999999999997" customHeight="1">
      <c r="A4" s="89"/>
      <c r="B4" s="91"/>
      <c r="C4" s="96" t="s">
        <v>11</v>
      </c>
      <c r="D4" s="96"/>
      <c r="E4" s="96"/>
      <c r="F4" s="96" t="s">
        <v>18</v>
      </c>
      <c r="G4" s="96"/>
      <c r="H4" s="96"/>
      <c r="I4" s="100" t="s">
        <v>17</v>
      </c>
      <c r="J4" s="100"/>
      <c r="K4" s="100"/>
      <c r="L4" s="100"/>
      <c r="M4" s="100"/>
      <c r="N4" s="100"/>
      <c r="O4" s="100" t="s">
        <v>16</v>
      </c>
      <c r="P4" s="100" t="s">
        <v>15</v>
      </c>
      <c r="Q4" s="100" t="s">
        <v>14</v>
      </c>
      <c r="R4" s="100" t="s">
        <v>13</v>
      </c>
      <c r="S4" s="100" t="s">
        <v>11</v>
      </c>
      <c r="T4" s="100" t="s">
        <v>12</v>
      </c>
      <c r="U4" s="101" t="s">
        <v>11</v>
      </c>
      <c r="V4" s="100" t="s">
        <v>10</v>
      </c>
      <c r="W4" s="93"/>
      <c r="X4" s="93"/>
      <c r="Y4" s="95"/>
    </row>
    <row r="5" spans="1:26" s="3" customFormat="1" ht="41.55" customHeight="1">
      <c r="A5" s="89"/>
      <c r="B5" s="91"/>
      <c r="C5" s="21" t="s">
        <v>6</v>
      </c>
      <c r="D5" s="21" t="s">
        <v>8</v>
      </c>
      <c r="E5" s="21" t="s">
        <v>7</v>
      </c>
      <c r="F5" s="21" t="s">
        <v>9</v>
      </c>
      <c r="G5" s="21" t="s">
        <v>8</v>
      </c>
      <c r="H5" s="21" t="s">
        <v>7</v>
      </c>
      <c r="I5" s="19" t="s">
        <v>6</v>
      </c>
      <c r="J5" s="19" t="s">
        <v>5</v>
      </c>
      <c r="K5" s="19" t="s">
        <v>4</v>
      </c>
      <c r="L5" s="19" t="s">
        <v>3</v>
      </c>
      <c r="M5" s="19" t="s">
        <v>2</v>
      </c>
      <c r="N5" s="20" t="s">
        <v>1</v>
      </c>
      <c r="O5" s="100"/>
      <c r="P5" s="100"/>
      <c r="Q5" s="100"/>
      <c r="R5" s="100"/>
      <c r="S5" s="100"/>
      <c r="T5" s="100"/>
      <c r="U5" s="101"/>
      <c r="V5" s="100"/>
      <c r="W5" s="93"/>
      <c r="X5" s="93"/>
      <c r="Y5" s="95"/>
    </row>
    <row r="6" spans="1:26" s="3" customFormat="1" ht="21" hidden="1" customHeight="1">
      <c r="A6" s="16">
        <v>1</v>
      </c>
      <c r="B6" s="15" t="s">
        <v>0</v>
      </c>
      <c r="C6" s="18">
        <f>[2]集团机关及参照单位!C6</f>
        <v>23</v>
      </c>
      <c r="D6" s="18">
        <f>VLOOKUP(B6,[2]年薪!$B$5:$E$39,4,0)</f>
        <v>23</v>
      </c>
      <c r="E6" s="18">
        <f>C6-D6</f>
        <v>0</v>
      </c>
      <c r="F6" s="10">
        <f>[2]集团机关及参照单位!D6</f>
        <v>1453.2730000000001</v>
      </c>
      <c r="G6" s="11">
        <f>VLOOKUP(B6,[2]年薪!$B$5:$F$39,5,0)</f>
        <v>1453.2730000000001</v>
      </c>
      <c r="H6" s="11">
        <f>F6-G6</f>
        <v>0</v>
      </c>
      <c r="I6" s="10">
        <f>SUM(J6:N6)</f>
        <v>0</v>
      </c>
      <c r="J6" s="11"/>
      <c r="K6" s="11"/>
      <c r="L6" s="11"/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f>F6+I6+O6+P6+Q6</f>
        <v>1453.2730000000001</v>
      </c>
      <c r="S6" s="18">
        <v>0</v>
      </c>
      <c r="T6" s="11">
        <v>0</v>
      </c>
      <c r="U6" s="18">
        <f>C6+S6</f>
        <v>23</v>
      </c>
      <c r="V6" s="11">
        <f>R6+T6</f>
        <v>1453.2730000000001</v>
      </c>
      <c r="W6" s="11"/>
      <c r="X6" s="11"/>
      <c r="Y6" s="17"/>
      <c r="Z6" s="9"/>
    </row>
    <row r="7" spans="1:26" s="3" customFormat="1" ht="42" customHeight="1">
      <c r="A7" s="97">
        <v>1</v>
      </c>
      <c r="B7" s="15" t="s">
        <v>26</v>
      </c>
      <c r="C7" s="12">
        <v>493</v>
      </c>
      <c r="D7" s="12">
        <v>10</v>
      </c>
      <c r="E7" s="12">
        <v>483</v>
      </c>
      <c r="F7" s="10">
        <v>6765.3000000000011</v>
      </c>
      <c r="G7" s="13">
        <v>318.88</v>
      </c>
      <c r="H7" s="13">
        <v>6446.420000000001</v>
      </c>
      <c r="I7" s="10">
        <v>493.86</v>
      </c>
      <c r="J7" s="11">
        <v>189.86</v>
      </c>
      <c r="K7" s="11">
        <v>0</v>
      </c>
      <c r="L7" s="11">
        <v>82</v>
      </c>
      <c r="M7" s="11">
        <v>222</v>
      </c>
      <c r="N7" s="14"/>
      <c r="O7" s="13">
        <v>406.32</v>
      </c>
      <c r="P7" s="13">
        <v>1375.56</v>
      </c>
      <c r="Q7" s="13">
        <v>5771.51</v>
      </c>
      <c r="R7" s="11">
        <v>14812.550000000001</v>
      </c>
      <c r="S7" s="12">
        <v>69</v>
      </c>
      <c r="T7" s="13">
        <v>976.12</v>
      </c>
      <c r="U7" s="12">
        <v>562</v>
      </c>
      <c r="V7" s="10">
        <v>15788.670000000002</v>
      </c>
      <c r="W7" s="11">
        <v>16962.11</v>
      </c>
      <c r="X7" s="10">
        <v>-1173.4399999999987</v>
      </c>
      <c r="Y7" s="17"/>
      <c r="Z7" s="9"/>
    </row>
    <row r="8" spans="1:26" s="3" customFormat="1" ht="42" customHeight="1">
      <c r="A8" s="98"/>
      <c r="B8" s="15" t="s">
        <v>27</v>
      </c>
      <c r="C8" s="12">
        <v>36</v>
      </c>
      <c r="D8" s="12">
        <v>0</v>
      </c>
      <c r="E8" s="12">
        <v>36</v>
      </c>
      <c r="F8" s="10">
        <v>409.21</v>
      </c>
      <c r="G8" s="13">
        <v>0</v>
      </c>
      <c r="H8" s="13">
        <v>409.21</v>
      </c>
      <c r="I8" s="10">
        <v>15.5</v>
      </c>
      <c r="J8" s="11">
        <v>6</v>
      </c>
      <c r="K8" s="11">
        <v>0</v>
      </c>
      <c r="L8" s="11">
        <v>0</v>
      </c>
      <c r="M8" s="11">
        <v>9.5</v>
      </c>
      <c r="N8" s="14"/>
      <c r="O8" s="13">
        <v>1.56</v>
      </c>
      <c r="P8" s="13">
        <v>77.539999999999992</v>
      </c>
      <c r="Q8" s="13">
        <v>324.65000000000003</v>
      </c>
      <c r="R8" s="11">
        <v>828.46</v>
      </c>
      <c r="S8" s="12">
        <v>0</v>
      </c>
      <c r="T8" s="13">
        <v>0</v>
      </c>
      <c r="U8" s="12">
        <v>36</v>
      </c>
      <c r="V8" s="10">
        <v>828.46</v>
      </c>
      <c r="W8" s="11">
        <v>0</v>
      </c>
      <c r="X8" s="10">
        <v>828.46</v>
      </c>
      <c r="Y8" s="17"/>
      <c r="Z8" s="9"/>
    </row>
    <row r="9" spans="1:26" s="3" customFormat="1" ht="42" customHeight="1" thickBot="1">
      <c r="A9" s="99"/>
      <c r="B9" s="25" t="s">
        <v>28</v>
      </c>
      <c r="C9" s="6">
        <v>529</v>
      </c>
      <c r="D9" s="6">
        <v>10</v>
      </c>
      <c r="E9" s="6">
        <v>519</v>
      </c>
      <c r="F9" s="4">
        <v>7174.5100000000011</v>
      </c>
      <c r="G9" s="7">
        <v>318.88</v>
      </c>
      <c r="H9" s="7">
        <v>6855.630000000001</v>
      </c>
      <c r="I9" s="4">
        <v>509.36</v>
      </c>
      <c r="J9" s="5">
        <v>195.86</v>
      </c>
      <c r="K9" s="5">
        <v>0</v>
      </c>
      <c r="L9" s="5">
        <v>82</v>
      </c>
      <c r="M9" s="5">
        <v>231.5</v>
      </c>
      <c r="N9" s="8">
        <v>0</v>
      </c>
      <c r="O9" s="7">
        <v>407.88</v>
      </c>
      <c r="P9" s="7">
        <v>1453.1</v>
      </c>
      <c r="Q9" s="7">
        <v>6096.16</v>
      </c>
      <c r="R9" s="5">
        <v>15641.010000000002</v>
      </c>
      <c r="S9" s="6">
        <v>69</v>
      </c>
      <c r="T9" s="7">
        <v>976.12</v>
      </c>
      <c r="U9" s="6">
        <v>598</v>
      </c>
      <c r="V9" s="4">
        <v>16617.13</v>
      </c>
      <c r="W9" s="5">
        <v>16962.11</v>
      </c>
      <c r="X9" s="4">
        <v>-344.97999999999865</v>
      </c>
      <c r="Y9" s="26"/>
      <c r="Z9" s="9"/>
    </row>
    <row r="10" spans="1:26">
      <c r="V10" s="24"/>
    </row>
  </sheetData>
  <mergeCells count="21">
    <mergeCell ref="A7:A9"/>
    <mergeCell ref="S4:S5"/>
    <mergeCell ref="T4:T5"/>
    <mergeCell ref="U4:U5"/>
    <mergeCell ref="V4:V5"/>
    <mergeCell ref="F4:H4"/>
    <mergeCell ref="I4:N4"/>
    <mergeCell ref="O4:O5"/>
    <mergeCell ref="P4:P5"/>
    <mergeCell ref="Q4:Q5"/>
    <mergeCell ref="R4:R5"/>
    <mergeCell ref="A1:Y1"/>
    <mergeCell ref="A3:A5"/>
    <mergeCell ref="B3:B5"/>
    <mergeCell ref="C3:R3"/>
    <mergeCell ref="S3:T3"/>
    <mergeCell ref="U3:V3"/>
    <mergeCell ref="W3:W5"/>
    <mergeCell ref="X3:X5"/>
    <mergeCell ref="Y3:Y5"/>
    <mergeCell ref="C4:E4"/>
  </mergeCells>
  <phoneticPr fontId="2" type="noConversion"/>
  <pageMargins left="0.35416666666666669" right="0.15694444444444444" top="0.2361111111111111" bottom="0.11805555555555555" header="0.31" footer="0.11805555555555555"/>
  <pageSetup paperSize="8" scale="89" fitToWidth="0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86"/>
  <sheetViews>
    <sheetView tabSelected="1" topLeftCell="A21" workbookViewId="0">
      <selection activeCell="A3" sqref="A3:E66"/>
    </sheetView>
  </sheetViews>
  <sheetFormatPr defaultColWidth="9.796875" defaultRowHeight="15.75"/>
  <cols>
    <col min="1" max="1" width="26.9296875" style="85" customWidth="1"/>
    <col min="2" max="2" width="10.59765625" style="86" customWidth="1"/>
    <col min="3" max="3" width="13.33203125" style="27" customWidth="1"/>
    <col min="4" max="4" width="12.53125" style="27" customWidth="1"/>
    <col min="5" max="5" width="51" style="27" customWidth="1"/>
    <col min="6" max="6" width="17.9296875" style="28" hidden="1" customWidth="1"/>
    <col min="7" max="7" width="18.73046875" style="29" hidden="1" customWidth="1"/>
    <col min="8" max="8" width="41.33203125" style="27" customWidth="1"/>
    <col min="9" max="9" width="16.53125" style="27" customWidth="1"/>
    <col min="10" max="10" width="9.796875" style="27" customWidth="1"/>
    <col min="11" max="16384" width="9.796875" style="27"/>
  </cols>
  <sheetData>
    <row r="1" spans="1:9" ht="14.2" hidden="1" customHeight="1">
      <c r="A1" s="102" t="s">
        <v>31</v>
      </c>
      <c r="B1" s="103"/>
    </row>
    <row r="2" spans="1:9" ht="14.2" hidden="1" customHeight="1">
      <c r="A2" s="102" t="s">
        <v>32</v>
      </c>
      <c r="B2" s="103"/>
    </row>
    <row r="3" spans="1:9" ht="21" customHeight="1">
      <c r="A3" s="104" t="s">
        <v>33</v>
      </c>
      <c r="B3" s="105"/>
      <c r="C3" s="105"/>
      <c r="D3" s="105"/>
      <c r="E3" s="105"/>
      <c r="F3" s="30"/>
      <c r="G3" s="31"/>
      <c r="H3" s="32"/>
      <c r="I3" s="33"/>
    </row>
    <row r="4" spans="1:9" ht="15.75" customHeight="1">
      <c r="A4" s="34" t="s">
        <v>34</v>
      </c>
      <c r="B4" s="35"/>
      <c r="C4" s="36"/>
      <c r="D4" s="37"/>
      <c r="E4" s="38" t="s">
        <v>35</v>
      </c>
      <c r="F4" s="39"/>
      <c r="G4" s="40"/>
      <c r="H4" s="41"/>
      <c r="I4" s="41"/>
    </row>
    <row r="5" spans="1:9" ht="15" customHeight="1">
      <c r="A5" s="42" t="s">
        <v>36</v>
      </c>
      <c r="B5" s="43" t="s">
        <v>37</v>
      </c>
      <c r="C5" s="44" t="s">
        <v>38</v>
      </c>
      <c r="D5" s="45" t="s">
        <v>39</v>
      </c>
      <c r="E5" s="46" t="s">
        <v>19</v>
      </c>
      <c r="F5" s="40" t="s">
        <v>40</v>
      </c>
      <c r="G5" s="40" t="s">
        <v>40</v>
      </c>
      <c r="H5" s="41"/>
      <c r="I5" s="41"/>
    </row>
    <row r="6" spans="1:9" ht="15" customHeight="1">
      <c r="A6" s="47" t="s">
        <v>41</v>
      </c>
      <c r="B6" s="48">
        <f>B7+B48</f>
        <v>598</v>
      </c>
      <c r="C6" s="49">
        <v>0</v>
      </c>
      <c r="D6" s="50">
        <f>D7+D48</f>
        <v>16617.127892736</v>
      </c>
      <c r="E6" s="51"/>
      <c r="F6" s="28">
        <f>'[3]人工成本表 (大海则)'!D6+'[3]人工成本表 (大海则选煤厂)'!D6</f>
        <v>16617.116042736001</v>
      </c>
      <c r="G6" s="29">
        <v>16617.127892736</v>
      </c>
    </row>
    <row r="7" spans="1:9" ht="15" customHeight="1">
      <c r="A7" s="52" t="s">
        <v>42</v>
      </c>
      <c r="B7" s="53">
        <f>SUM(B9:B18)</f>
        <v>529</v>
      </c>
      <c r="C7" s="54"/>
      <c r="D7" s="55">
        <f>D8+D30+D20+D35+D36+D37+D38+D39</f>
        <v>15641.005571999998</v>
      </c>
      <c r="E7" s="56"/>
      <c r="F7" s="28">
        <f>'[3]人工成本表 (大海则)'!D7+'[3]人工成本表 (大海则选煤厂)'!D7</f>
        <v>15640.993721999999</v>
      </c>
      <c r="G7" s="29">
        <v>15641.005572</v>
      </c>
    </row>
    <row r="8" spans="1:9" ht="15" customHeight="1">
      <c r="A8" s="57" t="s">
        <v>43</v>
      </c>
      <c r="B8" s="58"/>
      <c r="C8" s="59"/>
      <c r="D8" s="60">
        <f>SUM(D9:D19)</f>
        <v>7174.53</v>
      </c>
      <c r="E8" s="61" t="s">
        <v>44</v>
      </c>
      <c r="F8" s="28">
        <f>'[3]人工成本表 (大海则)'!D8+'[3]人工成本表 (大海则选煤厂)'!D8</f>
        <v>7174.52</v>
      </c>
      <c r="G8" s="29">
        <v>7174.53</v>
      </c>
    </row>
    <row r="9" spans="1:9" ht="15" customHeight="1">
      <c r="A9" s="62" t="s">
        <v>45</v>
      </c>
      <c r="B9" s="63">
        <v>1</v>
      </c>
      <c r="C9" s="64">
        <v>388888</v>
      </c>
      <c r="D9" s="65">
        <f>ROUND(B9*C9/10000,2)</f>
        <v>38.89</v>
      </c>
      <c r="E9" s="61" t="s">
        <v>46</v>
      </c>
      <c r="F9" s="28">
        <f>'[3]人工成本表 (大海则)'!D9+'[3]人工成本表 (大海则选煤厂)'!D9</f>
        <v>38.89</v>
      </c>
      <c r="G9" s="29">
        <v>38.89</v>
      </c>
    </row>
    <row r="10" spans="1:9" ht="15" customHeight="1">
      <c r="A10" s="62" t="s">
        <v>47</v>
      </c>
      <c r="B10" s="63">
        <v>2</v>
      </c>
      <c r="C10" s="64">
        <v>350000</v>
      </c>
      <c r="D10" s="65">
        <f t="shared" ref="D10:D19" si="0">ROUND(B10*C10/10000,2)</f>
        <v>70</v>
      </c>
      <c r="E10" s="61" t="s">
        <v>46</v>
      </c>
      <c r="F10" s="28">
        <f>'[3]人工成本表 (大海则)'!D10+'[3]人工成本表 (大海则选煤厂)'!D10</f>
        <v>70</v>
      </c>
      <c r="G10" s="29">
        <v>70</v>
      </c>
    </row>
    <row r="11" spans="1:9" ht="15" customHeight="1">
      <c r="A11" s="62" t="s">
        <v>48</v>
      </c>
      <c r="B11" s="63">
        <v>6</v>
      </c>
      <c r="C11" s="64">
        <v>311110.40000000002</v>
      </c>
      <c r="D11" s="65">
        <f t="shared" si="0"/>
        <v>186.67</v>
      </c>
      <c r="E11" s="61" t="s">
        <v>46</v>
      </c>
      <c r="F11" s="28">
        <f>'[3]人工成本表 (大海则)'!D11+'[3]人工成本表 (大海则选煤厂)'!D11</f>
        <v>186.67</v>
      </c>
      <c r="G11" s="29">
        <v>186.67</v>
      </c>
    </row>
    <row r="12" spans="1:9" ht="15" customHeight="1">
      <c r="A12" s="62" t="s">
        <v>49</v>
      </c>
      <c r="B12" s="63">
        <v>1</v>
      </c>
      <c r="C12" s="64">
        <v>233332.8</v>
      </c>
      <c r="D12" s="65">
        <f t="shared" si="0"/>
        <v>23.33</v>
      </c>
      <c r="E12" s="61" t="s">
        <v>46</v>
      </c>
      <c r="F12" s="28">
        <f>'[3]人工成本表 (大海则)'!D12+'[3]人工成本表 (大海则选煤厂)'!D12</f>
        <v>23.33</v>
      </c>
      <c r="G12" s="29">
        <v>23.33</v>
      </c>
    </row>
    <row r="13" spans="1:9" ht="15" customHeight="1">
      <c r="A13" s="62" t="s">
        <v>50</v>
      </c>
      <c r="B13" s="63">
        <v>205</v>
      </c>
      <c r="C13" s="64">
        <v>155900</v>
      </c>
      <c r="D13" s="65">
        <f t="shared" si="0"/>
        <v>3195.95</v>
      </c>
      <c r="E13" s="61" t="s">
        <v>51</v>
      </c>
      <c r="F13" s="28">
        <f>'[3]人工成本表 (大海则)'!D13+'[3]人工成本表 (大海则选煤厂)'!D13</f>
        <v>3195.95</v>
      </c>
      <c r="G13" s="29">
        <v>3195.95</v>
      </c>
    </row>
    <row r="14" spans="1:9" ht="15" customHeight="1">
      <c r="A14" s="62" t="s">
        <v>52</v>
      </c>
      <c r="B14" s="63">
        <v>196</v>
      </c>
      <c r="C14" s="64">
        <v>124700</v>
      </c>
      <c r="D14" s="65">
        <f t="shared" si="0"/>
        <v>2444.12</v>
      </c>
      <c r="E14" s="61" t="s">
        <v>51</v>
      </c>
      <c r="F14" s="28">
        <f>'[3]人工成本表 (大海则)'!D14+'[3]人工成本表 (大海则选煤厂)'!D14</f>
        <v>2444.12</v>
      </c>
      <c r="G14" s="29">
        <v>2444.12</v>
      </c>
    </row>
    <row r="15" spans="1:9" ht="15" customHeight="1">
      <c r="A15" s="62" t="s">
        <v>53</v>
      </c>
      <c r="B15" s="63">
        <v>20</v>
      </c>
      <c r="C15" s="64">
        <v>102900</v>
      </c>
      <c r="D15" s="65">
        <f t="shared" si="0"/>
        <v>205.8</v>
      </c>
      <c r="E15" s="61" t="s">
        <v>54</v>
      </c>
      <c r="F15" s="28">
        <f>'[3]人工成本表 (大海则)'!D15+'[3]人工成本表 (大海则选煤厂)'!D15</f>
        <v>205.8</v>
      </c>
      <c r="G15" s="29">
        <v>205.8</v>
      </c>
    </row>
    <row r="16" spans="1:9" ht="15" customHeight="1">
      <c r="A16" s="62" t="s">
        <v>55</v>
      </c>
      <c r="B16" s="63">
        <f>43+36</f>
        <v>79</v>
      </c>
      <c r="C16" s="64">
        <v>93300</v>
      </c>
      <c r="D16" s="65">
        <f>ROUND((43*C16+36*112230)/10000,2)</f>
        <v>805.22</v>
      </c>
      <c r="E16" s="61" t="s">
        <v>131</v>
      </c>
      <c r="F16" s="28">
        <f>'[3]人工成本表 (大海则)'!D16+'[3]人工成本表 (大海则选煤厂)'!D16</f>
        <v>805.22</v>
      </c>
      <c r="G16" s="29">
        <v>805.22</v>
      </c>
    </row>
    <row r="17" spans="1:7" ht="15" customHeight="1">
      <c r="A17" s="62" t="s">
        <v>56</v>
      </c>
      <c r="B17" s="63">
        <v>16</v>
      </c>
      <c r="C17" s="64">
        <v>78700</v>
      </c>
      <c r="D17" s="65">
        <f t="shared" si="0"/>
        <v>125.92</v>
      </c>
      <c r="E17" s="61" t="s">
        <v>51</v>
      </c>
      <c r="F17" s="28">
        <f>'[3]人工成本表 (大海则)'!D17+'[3]人工成本表 (大海则选煤厂)'!D17</f>
        <v>125.92</v>
      </c>
      <c r="G17" s="29">
        <v>125.92</v>
      </c>
    </row>
    <row r="18" spans="1:7" ht="15.75" customHeight="1">
      <c r="A18" s="62" t="s">
        <v>57</v>
      </c>
      <c r="B18" s="63">
        <v>3</v>
      </c>
      <c r="C18" s="64">
        <v>41800</v>
      </c>
      <c r="D18" s="65">
        <v>4.18</v>
      </c>
      <c r="E18" s="61" t="s">
        <v>58</v>
      </c>
      <c r="F18" s="28">
        <f>'[3]人工成本表 (大海则)'!D18+'[3]人工成本表 (大海则选煤厂)'!D18</f>
        <v>4.18</v>
      </c>
      <c r="G18" s="29">
        <v>4.18</v>
      </c>
    </row>
    <row r="19" spans="1:7" ht="15" customHeight="1">
      <c r="A19" s="62" t="s">
        <v>59</v>
      </c>
      <c r="B19" s="63">
        <f>B7-10-2</f>
        <v>517</v>
      </c>
      <c r="C19" s="64">
        <f>10*12*12</f>
        <v>1440</v>
      </c>
      <c r="D19" s="65">
        <f t="shared" si="0"/>
        <v>74.45</v>
      </c>
      <c r="E19" s="61" t="s">
        <v>60</v>
      </c>
      <c r="F19" s="28">
        <f>'[3]人工成本表 (大海则)'!D19+'[3]人工成本表 (大海则选煤厂)'!D19</f>
        <v>74.44</v>
      </c>
      <c r="G19" s="29">
        <v>74.45</v>
      </c>
    </row>
    <row r="20" spans="1:7" ht="15" customHeight="1">
      <c r="A20" s="57" t="s">
        <v>61</v>
      </c>
      <c r="B20" s="58"/>
      <c r="C20" s="59"/>
      <c r="D20" s="60">
        <f>SUM(D21:D29)</f>
        <v>407.88159999999999</v>
      </c>
      <c r="E20" s="66"/>
      <c r="F20" s="28">
        <f>'[3]人工成本表 (大海则)'!D20+'[3]人工成本表 (大海则选煤厂)'!D20</f>
        <v>407.88159999999999</v>
      </c>
      <c r="G20" s="29">
        <v>407.88159999999999</v>
      </c>
    </row>
    <row r="21" spans="1:7" ht="15" customHeight="1">
      <c r="A21" s="62" t="s">
        <v>62</v>
      </c>
      <c r="B21" s="58">
        <f>B13+B14</f>
        <v>401</v>
      </c>
      <c r="C21" s="63">
        <v>0</v>
      </c>
      <c r="D21" s="65">
        <f>(B13*30+B14*20)*22*12/10000</f>
        <v>265.84800000000001</v>
      </c>
      <c r="E21" s="61" t="s">
        <v>63</v>
      </c>
      <c r="F21" s="28">
        <f>'[3]人工成本表 (大海则)'!D21+'[3]人工成本表 (大海则选煤厂)'!D21</f>
        <v>265.84800000000001</v>
      </c>
      <c r="G21" s="29">
        <v>265.84800000000001</v>
      </c>
    </row>
    <row r="22" spans="1:7" ht="15" customHeight="1">
      <c r="A22" s="62" t="s">
        <v>64</v>
      </c>
      <c r="B22" s="58">
        <f>B13+B14</f>
        <v>401</v>
      </c>
      <c r="C22" s="63">
        <v>0</v>
      </c>
      <c r="D22" s="65">
        <f>(10+12)/3*22*12*B22/10000</f>
        <v>77.633599999999987</v>
      </c>
      <c r="E22" s="61" t="s">
        <v>65</v>
      </c>
      <c r="F22" s="28">
        <f>'[3]人工成本表 (大海则)'!D22+'[3]人工成本表 (大海则选煤厂)'!D22</f>
        <v>77.633600000000001</v>
      </c>
      <c r="G22" s="29">
        <v>77.633600000000001</v>
      </c>
    </row>
    <row r="23" spans="1:7" ht="26" customHeight="1">
      <c r="A23" s="62" t="s">
        <v>66</v>
      </c>
      <c r="B23" s="58"/>
      <c r="C23" s="63">
        <v>19500</v>
      </c>
      <c r="D23" s="65">
        <f>(0*3000+1*1000+5*300+17*1000)*12/10000</f>
        <v>23.4</v>
      </c>
      <c r="E23" s="67" t="s">
        <v>67</v>
      </c>
      <c r="F23" s="28">
        <f>'[3]人工成本表 (大海则)'!D23+'[3]人工成本表 (大海则选煤厂)'!D23</f>
        <v>23.4</v>
      </c>
      <c r="G23" s="29">
        <v>23.4</v>
      </c>
    </row>
    <row r="24" spans="1:7" ht="15" customHeight="1">
      <c r="A24" s="68" t="s">
        <v>68</v>
      </c>
      <c r="B24" s="58"/>
      <c r="C24" s="63">
        <f>410000/12</f>
        <v>34166.666666666664</v>
      </c>
      <c r="D24" s="65">
        <f>C24*12/10000</f>
        <v>41</v>
      </c>
      <c r="E24" s="61" t="s">
        <v>69</v>
      </c>
      <c r="F24" s="28">
        <f>'[3]人工成本表 (大海则)'!D24+'[3]人工成本表 (大海则选煤厂)'!D24</f>
        <v>41</v>
      </c>
      <c r="G24" s="29">
        <v>41</v>
      </c>
    </row>
    <row r="25" spans="1:7" ht="15" hidden="1" customHeight="1">
      <c r="A25" s="68" t="s">
        <v>70</v>
      </c>
      <c r="B25" s="58"/>
      <c r="C25" s="63"/>
      <c r="D25" s="65"/>
      <c r="E25" s="61"/>
      <c r="F25" s="28">
        <f>'[3]人工成本表 (大海则)'!D25+'[3]人工成本表 (大海则选煤厂)'!D25</f>
        <v>0</v>
      </c>
    </row>
    <row r="26" spans="1:7" ht="15" customHeight="1">
      <c r="A26" s="68" t="s">
        <v>71</v>
      </c>
      <c r="B26" s="58"/>
      <c r="C26" s="63"/>
      <c r="D26" s="65"/>
      <c r="E26" s="61" t="s">
        <v>72</v>
      </c>
      <c r="F26" s="28">
        <f>'[3]人工成本表 (大海则)'!D26+'[3]人工成本表 (大海则选煤厂)'!D26</f>
        <v>0</v>
      </c>
    </row>
    <row r="27" spans="1:7" ht="15" customHeight="1">
      <c r="A27" s="68" t="s">
        <v>73</v>
      </c>
      <c r="B27" s="58"/>
      <c r="C27" s="63"/>
      <c r="D27" s="65"/>
      <c r="E27" s="61"/>
      <c r="F27" s="28">
        <f>'[3]人工成本表 (大海则)'!D27+'[3]人工成本表 (大海则选煤厂)'!D27</f>
        <v>0</v>
      </c>
    </row>
    <row r="28" spans="1:7" ht="15" customHeight="1">
      <c r="A28" s="68" t="s">
        <v>74</v>
      </c>
      <c r="B28" s="58"/>
      <c r="C28" s="63"/>
      <c r="D28" s="65"/>
      <c r="E28" s="61"/>
      <c r="F28" s="28">
        <f>'[3]人工成本表 (大海则)'!D28+'[3]人工成本表 (大海则选煤厂)'!D28</f>
        <v>0</v>
      </c>
    </row>
    <row r="29" spans="1:7" ht="15" customHeight="1">
      <c r="A29" s="68" t="s">
        <v>75</v>
      </c>
      <c r="B29" s="58"/>
      <c r="C29" s="63"/>
      <c r="D29" s="65"/>
      <c r="E29" s="61" t="s">
        <v>76</v>
      </c>
      <c r="F29" s="28">
        <f>'[3]人工成本表 (大海则)'!D29+'[3]人工成本表 (大海则选煤厂)'!D29</f>
        <v>0</v>
      </c>
    </row>
    <row r="30" spans="1:7" ht="15" customHeight="1">
      <c r="A30" s="57" t="s">
        <v>77</v>
      </c>
      <c r="B30" s="58"/>
      <c r="C30" s="59"/>
      <c r="D30" s="69">
        <f>SUM(D31:D34)</f>
        <v>509.35559999999998</v>
      </c>
      <c r="E30" s="66"/>
      <c r="F30" s="28">
        <f>'[3]人工成本表 (大海则)'!D30+'[3]人工成本表 (大海则选煤厂)'!D30</f>
        <v>509.35559999999998</v>
      </c>
      <c r="G30" s="29">
        <v>509.35559999999998</v>
      </c>
    </row>
    <row r="31" spans="1:7" ht="15" customHeight="1">
      <c r="A31" s="70" t="s">
        <v>78</v>
      </c>
      <c r="B31" s="58">
        <v>12</v>
      </c>
      <c r="C31" s="63">
        <v>163213</v>
      </c>
      <c r="D31" s="65">
        <f>B31*C31/10000</f>
        <v>195.85560000000001</v>
      </c>
      <c r="E31" s="61" t="s">
        <v>79</v>
      </c>
      <c r="F31" s="28">
        <f>'[3]人工成本表 (大海则)'!D31+'[3]人工成本表 (大海则选煤厂)'!D31</f>
        <v>195.85560000000001</v>
      </c>
      <c r="G31" s="29">
        <v>195.85560000000001</v>
      </c>
    </row>
    <row r="32" spans="1:7" ht="15" customHeight="1">
      <c r="A32" s="70" t="s">
        <v>80</v>
      </c>
      <c r="B32" s="58"/>
      <c r="C32" s="63">
        <v>820000</v>
      </c>
      <c r="D32" s="65">
        <f t="shared" ref="D32:D34" si="1">C32/10000</f>
        <v>82</v>
      </c>
      <c r="E32" s="61" t="s">
        <v>81</v>
      </c>
      <c r="F32" s="28">
        <f>'[3]人工成本表 (大海则)'!D32+'[3]人工成本表 (大海则选煤厂)'!D32</f>
        <v>82</v>
      </c>
      <c r="G32" s="29">
        <v>82</v>
      </c>
    </row>
    <row r="33" spans="1:8" ht="15" customHeight="1">
      <c r="A33" s="70" t="s">
        <v>82</v>
      </c>
      <c r="B33" s="58"/>
      <c r="C33" s="63"/>
      <c r="D33" s="65">
        <f t="shared" si="1"/>
        <v>0</v>
      </c>
      <c r="E33" s="61"/>
      <c r="F33" s="28">
        <f>'[3]人工成本表 (大海则)'!D33+'[3]人工成本表 (大海则选煤厂)'!D33</f>
        <v>0</v>
      </c>
      <c r="G33" s="29">
        <v>0</v>
      </c>
    </row>
    <row r="34" spans="1:8" ht="15" customHeight="1">
      <c r="A34" s="70" t="s">
        <v>83</v>
      </c>
      <c r="B34" s="58"/>
      <c r="C34" s="63">
        <v>2315000</v>
      </c>
      <c r="D34" s="65">
        <f t="shared" si="1"/>
        <v>231.5</v>
      </c>
      <c r="E34" s="61" t="s">
        <v>84</v>
      </c>
      <c r="F34" s="28">
        <f>'[3]人工成本表 (大海则)'!D34+'[3]人工成本表 (大海则选煤厂)'!D34</f>
        <v>231.5</v>
      </c>
      <c r="G34" s="29">
        <v>231.5</v>
      </c>
    </row>
    <row r="35" spans="1:8" ht="15" customHeight="1">
      <c r="A35" s="57" t="s">
        <v>85</v>
      </c>
      <c r="B35" s="71"/>
      <c r="C35" s="65"/>
      <c r="D35" s="69">
        <f>($D$8+$D$20+$D$31)*0.14</f>
        <v>1088.957408</v>
      </c>
      <c r="E35" s="61" t="s">
        <v>86</v>
      </c>
      <c r="F35" s="28">
        <f>'[3]人工成本表 (大海则)'!D35+'[3]人工成本表 (大海则选煤厂)'!D35</f>
        <v>1088.9560080000001</v>
      </c>
      <c r="G35" s="29">
        <v>1088.957408</v>
      </c>
    </row>
    <row r="36" spans="1:8" ht="15" customHeight="1">
      <c r="A36" s="57" t="s">
        <v>87</v>
      </c>
      <c r="B36" s="71"/>
      <c r="C36" s="65"/>
      <c r="D36" s="69">
        <f>($D$8+$D$20+$D$30)*0.02</f>
        <v>161.83534399999999</v>
      </c>
      <c r="E36" s="61" t="s">
        <v>88</v>
      </c>
      <c r="F36" s="28">
        <f>'[3]人工成本表 (大海则)'!D36+'[3]人工成本表 (大海则选煤厂)'!D36</f>
        <v>161.83514400000001</v>
      </c>
      <c r="G36" s="29">
        <v>161.83534399999999</v>
      </c>
    </row>
    <row r="37" spans="1:8" ht="15" customHeight="1">
      <c r="A37" s="57" t="s">
        <v>89</v>
      </c>
      <c r="B37" s="71"/>
      <c r="C37" s="65"/>
      <c r="D37" s="69">
        <f>($D$8+$D$20+$D$30)*0.025</f>
        <v>202.29417999999998</v>
      </c>
      <c r="E37" s="61" t="s">
        <v>90</v>
      </c>
      <c r="F37" s="28">
        <f>'[3]人工成本表 (大海则)'!D37+'[3]人工成本表 (大海则选煤厂)'!D37</f>
        <v>202.29392999999999</v>
      </c>
      <c r="G37" s="29">
        <v>202.29418000000001</v>
      </c>
    </row>
    <row r="38" spans="1:8" ht="15" customHeight="1">
      <c r="A38" s="57" t="s">
        <v>91</v>
      </c>
      <c r="B38" s="58">
        <v>12</v>
      </c>
      <c r="C38" s="59">
        <f>1206576+12690-16789+10000*0.12*7</f>
        <v>1210877</v>
      </c>
      <c r="D38" s="69">
        <f t="shared" ref="D38:D47" si="2">C38*B38/10000</f>
        <v>1453.0524</v>
      </c>
      <c r="E38" s="61" t="s">
        <v>92</v>
      </c>
      <c r="F38" s="28">
        <f>'[3]人工成本表 (大海则)'!D38+'[3]人工成本表 (大海则选煤厂)'!D38</f>
        <v>1453.0524</v>
      </c>
      <c r="G38" s="29">
        <v>1453.0524</v>
      </c>
      <c r="H38" s="27">
        <f>ROUND(C38/536*36,2)*0.85</f>
        <v>69128.425999999992</v>
      </c>
    </row>
    <row r="39" spans="1:8" ht="15" customHeight="1">
      <c r="A39" s="57" t="s">
        <v>93</v>
      </c>
      <c r="B39" s="72" t="s">
        <v>94</v>
      </c>
      <c r="C39" s="64"/>
      <c r="D39" s="60">
        <f>SUM(D40:D47)</f>
        <v>4643.0990400000001</v>
      </c>
      <c r="E39" s="66"/>
      <c r="F39" s="28">
        <f>'[3]人工成本表 (大海则)'!D39+'[3]人工成本表 (大海则选煤厂)'!D39</f>
        <v>4643.0990400000001</v>
      </c>
      <c r="G39" s="29">
        <v>4643.0990400000001</v>
      </c>
      <c r="H39" s="27">
        <f t="shared" ref="H39:H47" si="3">ROUND(C39/536*36,2)*0.85</f>
        <v>0</v>
      </c>
    </row>
    <row r="40" spans="1:8" ht="15" customHeight="1">
      <c r="A40" s="62" t="s">
        <v>95</v>
      </c>
      <c r="B40" s="58">
        <v>12</v>
      </c>
      <c r="C40" s="64">
        <f>1534590.4+16920-22607.52+10000*0.16*7</f>
        <v>1540102.88</v>
      </c>
      <c r="D40" s="65">
        <f t="shared" si="2"/>
        <v>1848.1234559999998</v>
      </c>
      <c r="E40" s="61" t="s">
        <v>92</v>
      </c>
      <c r="F40" s="28">
        <f>'[3]人工成本表 (大海则)'!D40+'[3]人工成本表 (大海则选煤厂)'!D40</f>
        <v>1848.1234559999998</v>
      </c>
      <c r="G40" s="29">
        <v>1848.123456</v>
      </c>
      <c r="H40" s="27">
        <f t="shared" si="3"/>
        <v>87923.787499999991</v>
      </c>
    </row>
    <row r="41" spans="1:8" ht="15" customHeight="1">
      <c r="A41" s="62" t="s">
        <v>96</v>
      </c>
      <c r="B41" s="58">
        <v>12</v>
      </c>
      <c r="C41" s="64">
        <f>849362.96+8460-11303.76+10000*0.08*7</f>
        <v>852119.2</v>
      </c>
      <c r="D41" s="65">
        <f t="shared" si="2"/>
        <v>1022.5430399999999</v>
      </c>
      <c r="E41" s="61" t="s">
        <v>92</v>
      </c>
      <c r="F41" s="28">
        <f>'[3]人工成本表 (大海则)'!D41+'[3]人工成本表 (大海则选煤厂)'!D41</f>
        <v>1022.5430399999999</v>
      </c>
      <c r="G41" s="29">
        <v>1022.54304</v>
      </c>
      <c r="H41" s="27">
        <f t="shared" si="3"/>
        <v>48647.106500000002</v>
      </c>
    </row>
    <row r="42" spans="1:8" ht="15" customHeight="1">
      <c r="A42" s="62" t="s">
        <v>97</v>
      </c>
      <c r="B42" s="58">
        <v>12</v>
      </c>
      <c r="C42" s="64">
        <f>644352.96+7402.5-9649.85+10000*0.07*7</f>
        <v>647005.61</v>
      </c>
      <c r="D42" s="65">
        <f t="shared" si="2"/>
        <v>776.40673200000003</v>
      </c>
      <c r="E42" s="61" t="s">
        <v>92</v>
      </c>
      <c r="F42" s="28">
        <f>'[3]人工成本表 (大海则)'!D42+'[3]人工成本表 (大海则选煤厂)'!D42</f>
        <v>776.40673199999992</v>
      </c>
      <c r="G42" s="29">
        <v>776.40673200000003</v>
      </c>
      <c r="H42" s="27">
        <f t="shared" si="3"/>
        <v>36937.259999999995</v>
      </c>
    </row>
    <row r="43" spans="1:8" ht="15" customHeight="1">
      <c r="A43" s="62" t="s">
        <v>98</v>
      </c>
      <c r="B43" s="58">
        <v>12</v>
      </c>
      <c r="C43" s="64">
        <f>527749.42-7009.1+10000*0.05*7</f>
        <v>524240.32000000007</v>
      </c>
      <c r="D43" s="65">
        <f t="shared" si="2"/>
        <v>629.08838400000013</v>
      </c>
      <c r="E43" s="61" t="s">
        <v>99</v>
      </c>
      <c r="F43" s="28">
        <f>'[3]人工成本表 (大海则)'!D43+'[3]人工成本表 (大海则选煤厂)'!D43</f>
        <v>629.08838400000002</v>
      </c>
      <c r="G43" s="29">
        <v>629.08838400000002</v>
      </c>
      <c r="H43" s="27">
        <f t="shared" si="3"/>
        <v>29928.644499999999</v>
      </c>
    </row>
    <row r="44" spans="1:8" ht="15" customHeight="1">
      <c r="A44" s="62" t="s">
        <v>100</v>
      </c>
      <c r="B44" s="58">
        <v>12</v>
      </c>
      <c r="C44" s="64">
        <f>48687.07+528.75-706.5+10000*0.005*7</f>
        <v>48859.32</v>
      </c>
      <c r="D44" s="65">
        <f t="shared" si="2"/>
        <v>58.631183999999998</v>
      </c>
      <c r="E44" s="61" t="s">
        <v>92</v>
      </c>
      <c r="F44" s="28">
        <f>'[3]人工成本表 (大海则)'!D44+'[3]人工成本表 (大海则选煤厂)'!D44</f>
        <v>58.631183999999998</v>
      </c>
      <c r="G44" s="29">
        <v>58.631183999999998</v>
      </c>
      <c r="H44" s="27">
        <f t="shared" si="3"/>
        <v>2789.3599999999997</v>
      </c>
    </row>
    <row r="45" spans="1:8" ht="15" customHeight="1">
      <c r="A45" s="62" t="s">
        <v>101</v>
      </c>
      <c r="B45" s="58">
        <v>12</v>
      </c>
      <c r="C45" s="64">
        <f>131260.06+13035.17+1607.4+10000*0.0152*7</f>
        <v>146966.63</v>
      </c>
      <c r="D45" s="65">
        <f t="shared" si="2"/>
        <v>176.35995600000001</v>
      </c>
      <c r="E45" s="61" t="s">
        <v>92</v>
      </c>
      <c r="F45" s="28">
        <f>'[3]人工成本表 (大海则)'!D45+'[3]人工成本表 (大海则选煤厂)'!D45</f>
        <v>176.35995600000001</v>
      </c>
      <c r="G45" s="29">
        <v>176.35995600000001</v>
      </c>
      <c r="H45" s="27">
        <f t="shared" si="3"/>
        <v>8390.2564999999995</v>
      </c>
    </row>
    <row r="46" spans="1:8" ht="15" customHeight="1">
      <c r="A46" s="62" t="s">
        <v>102</v>
      </c>
      <c r="B46" s="58">
        <v>12</v>
      </c>
      <c r="C46" s="64">
        <f>4780.44-275.2</f>
        <v>4505.24</v>
      </c>
      <c r="D46" s="65">
        <f t="shared" si="2"/>
        <v>5.406288</v>
      </c>
      <c r="E46" s="61" t="s">
        <v>92</v>
      </c>
      <c r="F46" s="28">
        <f>'[3]人工成本表 (大海则)'!D46+'[3]人工成本表 (大海则选煤厂)'!D46</f>
        <v>5.406288</v>
      </c>
      <c r="G46" s="29">
        <v>5.406288</v>
      </c>
      <c r="H46" s="27">
        <f t="shared" si="3"/>
        <v>257.20149999999995</v>
      </c>
    </row>
    <row r="47" spans="1:8" ht="15.75" customHeight="1">
      <c r="A47" s="62" t="s">
        <v>103</v>
      </c>
      <c r="B47" s="58">
        <v>12</v>
      </c>
      <c r="C47" s="64">
        <f>1265400/12</f>
        <v>105450</v>
      </c>
      <c r="D47" s="65">
        <f t="shared" si="2"/>
        <v>126.54</v>
      </c>
      <c r="E47" s="61" t="s">
        <v>99</v>
      </c>
      <c r="F47" s="28">
        <f>'[3]人工成本表 (大海则)'!D47+'[3]人工成本表 (大海则选煤厂)'!D47</f>
        <v>126.53999999999999</v>
      </c>
      <c r="G47" s="29">
        <v>126.54</v>
      </c>
      <c r="H47" s="27">
        <f t="shared" si="3"/>
        <v>6020.0909999999994</v>
      </c>
    </row>
    <row r="48" spans="1:8" ht="15" customHeight="1">
      <c r="A48" s="73" t="s">
        <v>104</v>
      </c>
      <c r="B48" s="74">
        <f>B52+B51+B50</f>
        <v>69</v>
      </c>
      <c r="C48" s="75"/>
      <c r="D48" s="55">
        <f>D49+D53+D58+D59+D65</f>
        <v>976.12232073600012</v>
      </c>
      <c r="E48" s="76"/>
      <c r="F48" s="28">
        <f>'[3]人工成本表 (大海则)'!D48+'[3]人工成本表 (大海则选煤厂)'!D48</f>
        <v>976.12232073600001</v>
      </c>
      <c r="G48" s="29">
        <v>976.12232073600001</v>
      </c>
    </row>
    <row r="49" spans="1:9" ht="15" customHeight="1">
      <c r="A49" s="57" t="s">
        <v>105</v>
      </c>
      <c r="B49" s="71">
        <f>SUM(B50:B52)</f>
        <v>69</v>
      </c>
      <c r="C49" s="59"/>
      <c r="D49" s="69">
        <f>SUM(D50:D52)</f>
        <v>636.27638400000001</v>
      </c>
      <c r="E49" s="77"/>
      <c r="F49" s="28">
        <f>'[3]人工成本表 (大海则)'!D49+'[3]人工成本表 (大海则选煤厂)'!D49</f>
        <v>636.27638400000001</v>
      </c>
      <c r="G49" s="29">
        <v>636.27638400000001</v>
      </c>
    </row>
    <row r="50" spans="1:9" ht="15" customHeight="1">
      <c r="A50" s="62" t="s">
        <v>106</v>
      </c>
      <c r="B50" s="58">
        <v>49</v>
      </c>
      <c r="C50" s="64">
        <f>ROUND(D50/B50,2)*10000</f>
        <v>109100</v>
      </c>
      <c r="D50" s="65">
        <f>[4]大海则!$H$17/10000</f>
        <v>534.65605199999993</v>
      </c>
      <c r="E50" s="61" t="s">
        <v>51</v>
      </c>
      <c r="F50" s="28">
        <f>'[3]人工成本表 (大海则)'!D50+'[3]人工成本表 (大海则选煤厂)'!D50</f>
        <v>534.65605200000005</v>
      </c>
      <c r="G50" s="29">
        <v>534.65605200000005</v>
      </c>
    </row>
    <row r="51" spans="1:9" ht="15" customHeight="1">
      <c r="A51" s="62" t="s">
        <v>107</v>
      </c>
      <c r="B51" s="58">
        <v>4</v>
      </c>
      <c r="C51" s="64">
        <f t="shared" ref="C51" si="4">ROUND(D51/B51,2)*10000</f>
        <v>62400</v>
      </c>
      <c r="D51" s="65">
        <f>[4]大海则!$H$30/10000</f>
        <v>24.940224000000001</v>
      </c>
      <c r="E51" s="61" t="s">
        <v>51</v>
      </c>
      <c r="F51" s="28">
        <f>'[3]人工成本表 (大海则)'!D51+'[3]人工成本表 (大海则选煤厂)'!D51</f>
        <v>24.940224000000001</v>
      </c>
      <c r="G51" s="29">
        <v>24.940224000000001</v>
      </c>
    </row>
    <row r="52" spans="1:9" ht="15" customHeight="1">
      <c r="A52" s="62" t="s">
        <v>108</v>
      </c>
      <c r="B52" s="58">
        <v>16</v>
      </c>
      <c r="C52" s="64">
        <v>42600</v>
      </c>
      <c r="D52" s="65">
        <f>[4]大海则!$H$40/10000</f>
        <v>76.68010799999999</v>
      </c>
      <c r="E52" s="61" t="s">
        <v>51</v>
      </c>
      <c r="F52" s="28">
        <f>'[3]人工成本表 (大海则)'!D52+'[3]人工成本表 (大海则选煤厂)'!D52</f>
        <v>76.680108000000004</v>
      </c>
      <c r="G52" s="29">
        <v>76.680108000000004</v>
      </c>
    </row>
    <row r="53" spans="1:9" ht="15" customHeight="1">
      <c r="A53" s="57" t="s">
        <v>109</v>
      </c>
      <c r="B53" s="58"/>
      <c r="C53" s="64"/>
      <c r="D53" s="69">
        <f>SUM(D54:D57)</f>
        <v>141.05879999999999</v>
      </c>
      <c r="E53" s="66"/>
      <c r="F53" s="28">
        <f>'[3]人工成本表 (大海则)'!D53+'[3]人工成本表 (大海则选煤厂)'!D53</f>
        <v>141.05879999999999</v>
      </c>
      <c r="G53" s="29">
        <v>141.05879999999999</v>
      </c>
    </row>
    <row r="54" spans="1:9" ht="15" customHeight="1">
      <c r="A54" s="62" t="s">
        <v>110</v>
      </c>
      <c r="B54" s="58">
        <f>B50+B51</f>
        <v>53</v>
      </c>
      <c r="C54" s="63">
        <v>0</v>
      </c>
      <c r="D54" s="65">
        <f>(B50*30+B51*20)*27*12/10000</f>
        <v>50.22</v>
      </c>
      <c r="E54" s="61" t="s">
        <v>111</v>
      </c>
      <c r="F54" s="28">
        <f>'[3]人工成本表 (大海则)'!D54+'[3]人工成本表 (大海则选煤厂)'!D54</f>
        <v>50.22</v>
      </c>
      <c r="G54" s="29">
        <v>50.22</v>
      </c>
    </row>
    <row r="55" spans="1:9" ht="15" customHeight="1">
      <c r="A55" s="62" t="s">
        <v>112</v>
      </c>
      <c r="B55" s="58">
        <f>B50+B51</f>
        <v>53</v>
      </c>
      <c r="C55" s="63">
        <v>0</v>
      </c>
      <c r="D55" s="65">
        <f>(10+12)/3*27*12*B55/10000</f>
        <v>12.5928</v>
      </c>
      <c r="E55" s="61" t="s">
        <v>113</v>
      </c>
      <c r="F55" s="28">
        <f>'[3]人工成本表 (大海则)'!D55+'[3]人工成本表 (大海则选煤厂)'!D55</f>
        <v>12.5928</v>
      </c>
      <c r="G55" s="29">
        <v>12.5928</v>
      </c>
    </row>
    <row r="56" spans="1:9" ht="15" customHeight="1">
      <c r="A56" s="62" t="s">
        <v>114</v>
      </c>
      <c r="B56" s="58">
        <f>B49</f>
        <v>69</v>
      </c>
      <c r="C56" s="63">
        <f>35*12*27</f>
        <v>11340</v>
      </c>
      <c r="D56" s="65">
        <f>B56*C56/10000</f>
        <v>78.245999999999995</v>
      </c>
      <c r="E56" s="61" t="s">
        <v>115</v>
      </c>
      <c r="F56" s="28">
        <f>'[3]人工成本表 (大海则)'!D56+'[3]人工成本表 (大海则选煤厂)'!D56</f>
        <v>78.245999999999995</v>
      </c>
      <c r="G56" s="29">
        <v>78.245999999999995</v>
      </c>
    </row>
    <row r="57" spans="1:9" ht="15" customHeight="1">
      <c r="A57" s="62" t="s">
        <v>116</v>
      </c>
      <c r="B57" s="58"/>
      <c r="C57" s="63"/>
      <c r="D57" s="65">
        <v>0</v>
      </c>
      <c r="E57" s="61"/>
      <c r="F57" s="28">
        <f>'[3]人工成本表 (大海则)'!D57+'[3]人工成本表 (大海则选煤厂)'!D57</f>
        <v>0</v>
      </c>
      <c r="G57" s="29">
        <v>0</v>
      </c>
    </row>
    <row r="58" spans="1:9" ht="15" customHeight="1">
      <c r="A58" s="57" t="s">
        <v>117</v>
      </c>
      <c r="B58" s="58">
        <v>12</v>
      </c>
      <c r="C58" s="64">
        <f>B52*70</f>
        <v>1120</v>
      </c>
      <c r="D58" s="69">
        <f>C58*B58/10000</f>
        <v>1.3440000000000001</v>
      </c>
      <c r="E58" s="61" t="s">
        <v>118</v>
      </c>
      <c r="F58" s="28">
        <f>'[3]人工成本表 (大海则)'!D58+'[3]人工成本表 (大海则选煤厂)'!D58</f>
        <v>1.3440000000000001</v>
      </c>
      <c r="G58" s="29">
        <v>1.3440000000000001</v>
      </c>
    </row>
    <row r="59" spans="1:9" ht="15" customHeight="1">
      <c r="A59" s="57" t="s">
        <v>119</v>
      </c>
      <c r="B59" s="72" t="s">
        <v>94</v>
      </c>
      <c r="C59" s="64"/>
      <c r="D59" s="69">
        <f>SUM(D60:D64)</f>
        <v>197.44313673599999</v>
      </c>
      <c r="E59" s="78" t="s">
        <v>120</v>
      </c>
      <c r="F59" s="28">
        <f>'[3]人工成本表 (大海则)'!D59+'[3]人工成本表 (大海则选煤厂)'!D59</f>
        <v>197.44313673600001</v>
      </c>
      <c r="G59" s="29">
        <v>197.44313673600001</v>
      </c>
    </row>
    <row r="60" spans="1:9" ht="15" customHeight="1">
      <c r="A60" s="62" t="s">
        <v>121</v>
      </c>
      <c r="B60" s="58">
        <v>12</v>
      </c>
      <c r="C60" s="64">
        <f t="shared" ref="C60:C64" si="5">D60/B60</f>
        <v>10.364469120000001</v>
      </c>
      <c r="D60" s="65">
        <f t="shared" ref="D60:D64" si="6">($D$49+$D$53)*E60</f>
        <v>124.37362944</v>
      </c>
      <c r="E60" s="79">
        <v>0.16</v>
      </c>
      <c r="F60" s="28">
        <f>'[3]人工成本表 (大海则)'!D60+'[3]人工成本表 (大海则选煤厂)'!D60</f>
        <v>124.37362944</v>
      </c>
      <c r="G60" s="29">
        <v>124.37362944</v>
      </c>
    </row>
    <row r="61" spans="1:9" ht="15" customHeight="1">
      <c r="A61" s="62" t="s">
        <v>122</v>
      </c>
      <c r="B61" s="58">
        <v>12</v>
      </c>
      <c r="C61" s="64">
        <f t="shared" si="5"/>
        <v>3.8866759200000001</v>
      </c>
      <c r="D61" s="65">
        <f t="shared" si="6"/>
        <v>46.640111040000001</v>
      </c>
      <c r="E61" s="79">
        <v>0.06</v>
      </c>
      <c r="F61" s="28">
        <f>'[3]人工成本表 (大海则)'!D61+'[3]人工成本表 (大海则选煤厂)'!D61</f>
        <v>46.640111040000001</v>
      </c>
      <c r="G61" s="29">
        <v>46.640111040000001</v>
      </c>
    </row>
    <row r="62" spans="1:9" ht="15" customHeight="1">
      <c r="A62" s="62" t="s">
        <v>123</v>
      </c>
      <c r="B62" s="58">
        <v>12</v>
      </c>
      <c r="C62" s="64">
        <f t="shared" si="5"/>
        <v>0.32388966000000002</v>
      </c>
      <c r="D62" s="65">
        <f t="shared" si="6"/>
        <v>3.8866759200000001</v>
      </c>
      <c r="E62" s="80">
        <v>5.0000000000000001E-3</v>
      </c>
      <c r="F62" s="28">
        <f>'[3]人工成本表 (大海则)'!D62+'[3]人工成本表 (大海则选煤厂)'!D62</f>
        <v>3.8866759200000001</v>
      </c>
      <c r="G62" s="31">
        <v>3.8866759200000001</v>
      </c>
      <c r="H62" s="33"/>
      <c r="I62" s="33"/>
    </row>
    <row r="63" spans="1:9" ht="15" customHeight="1">
      <c r="A63" s="62" t="s">
        <v>124</v>
      </c>
      <c r="B63" s="58">
        <v>12</v>
      </c>
      <c r="C63" s="64">
        <f t="shared" si="5"/>
        <v>1.2307807079999999</v>
      </c>
      <c r="D63" s="65">
        <f t="shared" si="6"/>
        <v>14.769368496</v>
      </c>
      <c r="E63" s="80">
        <v>1.9E-2</v>
      </c>
      <c r="F63" s="28">
        <f>'[3]人工成本表 (大海则)'!D63+'[3]人工成本表 (大海则选煤厂)'!D63</f>
        <v>14.769368496</v>
      </c>
      <c r="G63" s="31">
        <v>14.769368496</v>
      </c>
      <c r="H63" s="33"/>
      <c r="I63" s="33"/>
    </row>
    <row r="64" spans="1:9" ht="15" customHeight="1">
      <c r="A64" s="62" t="s">
        <v>125</v>
      </c>
      <c r="B64" s="58">
        <v>12</v>
      </c>
      <c r="C64" s="64">
        <f t="shared" si="5"/>
        <v>0.64777932000000005</v>
      </c>
      <c r="D64" s="65">
        <f t="shared" si="6"/>
        <v>7.7733518400000001</v>
      </c>
      <c r="E64" s="79">
        <v>0.01</v>
      </c>
      <c r="F64" s="28">
        <f>'[3]人工成本表 (大海则)'!D64+'[3]人工成本表 (大海则选煤厂)'!D64</f>
        <v>7.7733518400000001</v>
      </c>
      <c r="G64" s="31">
        <v>7.7733518400000001</v>
      </c>
      <c r="H64" s="33"/>
      <c r="I64" s="33"/>
    </row>
    <row r="65" spans="1:9" ht="15" customHeight="1">
      <c r="A65" s="81" t="s">
        <v>126</v>
      </c>
      <c r="B65" s="58"/>
      <c r="C65" s="64"/>
      <c r="D65" s="69"/>
      <c r="E65" s="61"/>
      <c r="F65" s="28">
        <f>'[3]人工成本表 (大海则)'!D65+'[3]人工成本表 (大海则选煤厂)'!D65</f>
        <v>0</v>
      </c>
      <c r="G65" s="31"/>
      <c r="H65" s="33"/>
      <c r="I65" s="33"/>
    </row>
    <row r="66" spans="1:9" ht="15" customHeight="1">
      <c r="A66" s="82" t="s">
        <v>127</v>
      </c>
      <c r="B66" s="83"/>
      <c r="C66" s="84" t="s">
        <v>128</v>
      </c>
      <c r="D66" s="84"/>
      <c r="E66" s="83" t="s">
        <v>129</v>
      </c>
    </row>
    <row r="67" spans="1:9" ht="15" customHeight="1"/>
    <row r="68" spans="1:9" ht="15" customHeight="1"/>
    <row r="69" spans="1:9" ht="15" customHeight="1"/>
    <row r="70" spans="1:9" ht="15" customHeight="1"/>
    <row r="71" spans="1:9" ht="15" customHeight="1"/>
    <row r="72" spans="1:9" ht="15" customHeight="1"/>
    <row r="73" spans="1:9" ht="15" customHeight="1"/>
    <row r="74" spans="1:9" ht="15" customHeight="1"/>
    <row r="75" spans="1:9" ht="15" customHeight="1"/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3">
    <mergeCell ref="A1:B1"/>
    <mergeCell ref="A2:B2"/>
    <mergeCell ref="A3:E3"/>
  </mergeCells>
  <phoneticPr fontId="2" type="noConversion"/>
  <pageMargins left="0.39305555555555599" right="3.8888888888888903E-2" top="0.62986111111111098" bottom="0.22013888888888899" header="0.156944444444444" footer="0.29861111111111099"/>
  <pageSetup paperSize="9" scale="90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86"/>
  <sheetViews>
    <sheetView topLeftCell="A3" workbookViewId="0">
      <selection activeCell="C32" sqref="C32"/>
    </sheetView>
  </sheetViews>
  <sheetFormatPr defaultColWidth="9.796875" defaultRowHeight="15.75"/>
  <cols>
    <col min="1" max="1" width="26.9296875" style="85" customWidth="1"/>
    <col min="2" max="2" width="10.59765625" style="86" customWidth="1"/>
    <col min="3" max="3" width="13.33203125" style="27" customWidth="1"/>
    <col min="4" max="4" width="12.53125" style="27" customWidth="1"/>
    <col min="5" max="5" width="51" style="27" customWidth="1"/>
    <col min="6" max="6" width="17.9296875" style="28" hidden="1" customWidth="1"/>
    <col min="7" max="7" width="18.73046875" style="29" hidden="1" customWidth="1"/>
    <col min="8" max="8" width="41.33203125" style="27" hidden="1" customWidth="1"/>
    <col min="9" max="9" width="16.53125" style="27" customWidth="1"/>
    <col min="10" max="10" width="9.796875" style="27" customWidth="1"/>
    <col min="11" max="16384" width="9.796875" style="27"/>
  </cols>
  <sheetData>
    <row r="1" spans="1:9" ht="14.2" hidden="1" customHeight="1">
      <c r="A1" s="102" t="s">
        <v>31</v>
      </c>
      <c r="B1" s="103"/>
    </row>
    <row r="2" spans="1:9" ht="14.2" hidden="1" customHeight="1">
      <c r="A2" s="102" t="s">
        <v>32</v>
      </c>
      <c r="B2" s="103"/>
    </row>
    <row r="3" spans="1:9" ht="21" customHeight="1">
      <c r="A3" s="104" t="s">
        <v>33</v>
      </c>
      <c r="B3" s="105"/>
      <c r="C3" s="105"/>
      <c r="D3" s="105"/>
      <c r="E3" s="105"/>
      <c r="F3" s="30"/>
      <c r="G3" s="31"/>
      <c r="H3" s="32"/>
      <c r="I3" s="33"/>
    </row>
    <row r="4" spans="1:9" ht="15.75" customHeight="1">
      <c r="A4" s="34" t="s">
        <v>34</v>
      </c>
      <c r="B4" s="35"/>
      <c r="C4" s="36"/>
      <c r="D4" s="37"/>
      <c r="E4" s="38" t="s">
        <v>35</v>
      </c>
      <c r="F4" s="39"/>
      <c r="G4" s="40"/>
      <c r="H4" s="41"/>
      <c r="I4" s="41"/>
    </row>
    <row r="5" spans="1:9" ht="15" customHeight="1">
      <c r="A5" s="42" t="s">
        <v>36</v>
      </c>
      <c r="B5" s="43" t="s">
        <v>37</v>
      </c>
      <c r="C5" s="44" t="s">
        <v>38</v>
      </c>
      <c r="D5" s="45" t="s">
        <v>39</v>
      </c>
      <c r="E5" s="46" t="s">
        <v>19</v>
      </c>
      <c r="F5" s="39"/>
      <c r="G5" s="40" t="s">
        <v>40</v>
      </c>
      <c r="H5" s="41"/>
      <c r="I5" s="41"/>
    </row>
    <row r="6" spans="1:9" ht="15" customHeight="1">
      <c r="A6" s="47" t="s">
        <v>41</v>
      </c>
      <c r="B6" s="48">
        <f>B7+B48</f>
        <v>562</v>
      </c>
      <c r="C6" s="49">
        <v>0</v>
      </c>
      <c r="D6" s="50">
        <f>D7+D48</f>
        <v>15788.664468735997</v>
      </c>
      <c r="E6" s="51"/>
      <c r="F6" s="28">
        <f>D6+'[3]人工成本表 (大海则选煤厂)'!D6</f>
        <v>16615.267442735996</v>
      </c>
      <c r="G6" s="29">
        <v>16617.127892736</v>
      </c>
    </row>
    <row r="7" spans="1:9" ht="15" customHeight="1">
      <c r="A7" s="52" t="s">
        <v>42</v>
      </c>
      <c r="B7" s="53">
        <f>SUM(B9:B18)</f>
        <v>493</v>
      </c>
      <c r="C7" s="54"/>
      <c r="D7" s="55">
        <f>D8+D30+D20+D35+D36+D37+D38+D39</f>
        <v>14812.542147999997</v>
      </c>
      <c r="E7" s="56"/>
      <c r="F7" s="28">
        <f>D7+'[3]人工成本表 (大海则选煤厂)'!D7</f>
        <v>15639.145121999996</v>
      </c>
      <c r="G7" s="29">
        <v>15641.005572</v>
      </c>
    </row>
    <row r="8" spans="1:9" ht="15" customHeight="1">
      <c r="A8" s="57" t="s">
        <v>43</v>
      </c>
      <c r="B8" s="58"/>
      <c r="C8" s="59"/>
      <c r="D8" s="60">
        <f>SUM(D9:D19)</f>
        <v>6765.3099999999995</v>
      </c>
      <c r="E8" s="61" t="s">
        <v>44</v>
      </c>
      <c r="F8" s="28">
        <f>D8+'[3]人工成本表 (大海则选煤厂)'!D8</f>
        <v>7174.5199999999995</v>
      </c>
      <c r="G8" s="29">
        <v>7174.53</v>
      </c>
    </row>
    <row r="9" spans="1:9" ht="15" customHeight="1">
      <c r="A9" s="62" t="s">
        <v>45</v>
      </c>
      <c r="B9" s="63">
        <v>1</v>
      </c>
      <c r="C9" s="64">
        <v>388888</v>
      </c>
      <c r="D9" s="65">
        <f t="shared" ref="D9:D15" si="0">ROUND(B9*C9/10000,2)</f>
        <v>38.89</v>
      </c>
      <c r="E9" s="61" t="s">
        <v>46</v>
      </c>
      <c r="F9" s="28">
        <f>D9+'[3]人工成本表 (大海则选煤厂)'!D9</f>
        <v>38.89</v>
      </c>
      <c r="G9" s="29">
        <v>38.89</v>
      </c>
    </row>
    <row r="10" spans="1:9" ht="15" customHeight="1">
      <c r="A10" s="62" t="s">
        <v>47</v>
      </c>
      <c r="B10" s="63">
        <v>2</v>
      </c>
      <c r="C10" s="64">
        <v>350000</v>
      </c>
      <c r="D10" s="65">
        <f t="shared" si="0"/>
        <v>70</v>
      </c>
      <c r="E10" s="61" t="s">
        <v>46</v>
      </c>
      <c r="F10" s="28">
        <f>D10+'[3]人工成本表 (大海则选煤厂)'!D10</f>
        <v>70</v>
      </c>
      <c r="G10" s="29">
        <v>70</v>
      </c>
    </row>
    <row r="11" spans="1:9" ht="15" customHeight="1">
      <c r="A11" s="62" t="s">
        <v>48</v>
      </c>
      <c r="B11" s="63">
        <v>6</v>
      </c>
      <c r="C11" s="64">
        <v>311110.40000000002</v>
      </c>
      <c r="D11" s="65">
        <f t="shared" si="0"/>
        <v>186.67</v>
      </c>
      <c r="E11" s="61" t="s">
        <v>46</v>
      </c>
      <c r="F11" s="28">
        <f>D11+'[3]人工成本表 (大海则选煤厂)'!D11</f>
        <v>186.67</v>
      </c>
      <c r="G11" s="29">
        <v>186.67</v>
      </c>
    </row>
    <row r="12" spans="1:9" ht="15" customHeight="1">
      <c r="A12" s="62" t="s">
        <v>49</v>
      </c>
      <c r="B12" s="63">
        <v>1</v>
      </c>
      <c r="C12" s="64">
        <v>233332.8</v>
      </c>
      <c r="D12" s="65">
        <f t="shared" si="0"/>
        <v>23.33</v>
      </c>
      <c r="E12" s="61" t="s">
        <v>46</v>
      </c>
      <c r="F12" s="28">
        <f>D12+'[3]人工成本表 (大海则选煤厂)'!D12</f>
        <v>23.33</v>
      </c>
      <c r="G12" s="29">
        <v>23.33</v>
      </c>
    </row>
    <row r="13" spans="1:9" ht="15" customHeight="1">
      <c r="A13" s="62" t="s">
        <v>50</v>
      </c>
      <c r="B13" s="63">
        <v>205</v>
      </c>
      <c r="C13" s="64">
        <v>155900</v>
      </c>
      <c r="D13" s="65">
        <f t="shared" si="0"/>
        <v>3195.95</v>
      </c>
      <c r="E13" s="61" t="s">
        <v>51</v>
      </c>
      <c r="F13" s="28">
        <f>D13+'[3]人工成本表 (大海则选煤厂)'!D13</f>
        <v>3195.95</v>
      </c>
      <c r="G13" s="29">
        <v>3195.95</v>
      </c>
    </row>
    <row r="14" spans="1:9" ht="15" customHeight="1">
      <c r="A14" s="62" t="s">
        <v>52</v>
      </c>
      <c r="B14" s="63">
        <v>196</v>
      </c>
      <c r="C14" s="64">
        <v>124700</v>
      </c>
      <c r="D14" s="65">
        <f t="shared" si="0"/>
        <v>2444.12</v>
      </c>
      <c r="E14" s="61" t="s">
        <v>51</v>
      </c>
      <c r="F14" s="28">
        <f>D14+'[3]人工成本表 (大海则选煤厂)'!D14</f>
        <v>2444.12</v>
      </c>
      <c r="G14" s="29">
        <v>2444.12</v>
      </c>
    </row>
    <row r="15" spans="1:9" ht="15" customHeight="1">
      <c r="A15" s="62" t="s">
        <v>53</v>
      </c>
      <c r="B15" s="63">
        <v>20</v>
      </c>
      <c r="C15" s="64">
        <v>102900</v>
      </c>
      <c r="D15" s="65">
        <f t="shared" si="0"/>
        <v>205.8</v>
      </c>
      <c r="E15" s="61" t="s">
        <v>130</v>
      </c>
      <c r="F15" s="28">
        <f>D15+'[3]人工成本表 (大海则选煤厂)'!D15</f>
        <v>205.8</v>
      </c>
      <c r="G15" s="29">
        <v>205.8</v>
      </c>
    </row>
    <row r="16" spans="1:9" ht="15" customHeight="1">
      <c r="A16" s="62" t="s">
        <v>55</v>
      </c>
      <c r="B16" s="63">
        <f>43</f>
        <v>43</v>
      </c>
      <c r="C16" s="64">
        <v>93300</v>
      </c>
      <c r="D16" s="65">
        <f>ROUND(43*C16/10000,2)</f>
        <v>401.19</v>
      </c>
      <c r="E16" s="61" t="s">
        <v>130</v>
      </c>
      <c r="F16" s="28">
        <f>D16+'[3]人工成本表 (大海则选煤厂)'!D16</f>
        <v>805.22</v>
      </c>
      <c r="G16" s="29">
        <v>805.22</v>
      </c>
    </row>
    <row r="17" spans="1:7" ht="15" customHeight="1">
      <c r="A17" s="62" t="s">
        <v>56</v>
      </c>
      <c r="B17" s="63">
        <v>16</v>
      </c>
      <c r="C17" s="64">
        <v>78700</v>
      </c>
      <c r="D17" s="65">
        <f>ROUND(B17*C17/10000,2)</f>
        <v>125.92</v>
      </c>
      <c r="E17" s="61" t="s">
        <v>51</v>
      </c>
      <c r="F17" s="28">
        <f>D17+'[3]人工成本表 (大海则选煤厂)'!D17</f>
        <v>125.92</v>
      </c>
      <c r="G17" s="29">
        <v>125.92</v>
      </c>
    </row>
    <row r="18" spans="1:7" ht="15.75" customHeight="1">
      <c r="A18" s="62" t="s">
        <v>57</v>
      </c>
      <c r="B18" s="63">
        <v>3</v>
      </c>
      <c r="C18" s="64">
        <v>41800</v>
      </c>
      <c r="D18" s="65">
        <v>4.18</v>
      </c>
      <c r="E18" s="61" t="s">
        <v>58</v>
      </c>
      <c r="F18" s="28">
        <f>D18+'[3]人工成本表 (大海则选煤厂)'!D18</f>
        <v>4.18</v>
      </c>
      <c r="G18" s="29">
        <v>4.18</v>
      </c>
    </row>
    <row r="19" spans="1:7" ht="15" customHeight="1">
      <c r="A19" s="62" t="s">
        <v>59</v>
      </c>
      <c r="B19" s="63">
        <f>B7-10-2</f>
        <v>481</v>
      </c>
      <c r="C19" s="64">
        <f>10*12*12</f>
        <v>1440</v>
      </c>
      <c r="D19" s="65">
        <f>ROUND(B19*C19/10000,2)</f>
        <v>69.260000000000005</v>
      </c>
      <c r="E19" s="61" t="s">
        <v>60</v>
      </c>
      <c r="F19" s="28">
        <f>D19+'[3]人工成本表 (大海则选煤厂)'!D19</f>
        <v>74.44</v>
      </c>
      <c r="G19" s="29">
        <v>74.45</v>
      </c>
    </row>
    <row r="20" spans="1:7" ht="15" customHeight="1">
      <c r="A20" s="57" t="s">
        <v>61</v>
      </c>
      <c r="B20" s="58"/>
      <c r="C20" s="59"/>
      <c r="D20" s="60">
        <f>SUM(D21:D29)</f>
        <v>406.32159999999999</v>
      </c>
      <c r="E20" s="66"/>
      <c r="F20" s="28">
        <f>D20+'[3]人工成本表 (大海则选煤厂)'!D20</f>
        <v>407.88159999999999</v>
      </c>
      <c r="G20" s="29">
        <v>407.88159999999999</v>
      </c>
    </row>
    <row r="21" spans="1:7" ht="15" customHeight="1">
      <c r="A21" s="62" t="s">
        <v>62</v>
      </c>
      <c r="B21" s="58">
        <f>B13+B14</f>
        <v>401</v>
      </c>
      <c r="C21" s="63">
        <v>0</v>
      </c>
      <c r="D21" s="65">
        <f>(B13*30+B14*20)*22*12/10000</f>
        <v>265.84800000000001</v>
      </c>
      <c r="E21" s="61" t="s">
        <v>63</v>
      </c>
      <c r="F21" s="28">
        <f>D21+'[3]人工成本表 (大海则选煤厂)'!D21</f>
        <v>265.84800000000001</v>
      </c>
      <c r="G21" s="29">
        <v>265.84800000000001</v>
      </c>
    </row>
    <row r="22" spans="1:7" ht="15" customHeight="1">
      <c r="A22" s="62" t="s">
        <v>64</v>
      </c>
      <c r="B22" s="58">
        <f>B13+B14</f>
        <v>401</v>
      </c>
      <c r="C22" s="63">
        <v>0</v>
      </c>
      <c r="D22" s="65">
        <f>(10+12)/3*22*12*B22/10000</f>
        <v>77.633599999999987</v>
      </c>
      <c r="E22" s="61" t="s">
        <v>65</v>
      </c>
      <c r="F22" s="28">
        <f>D22+'[3]人工成本表 (大海则选煤厂)'!D22</f>
        <v>77.633599999999987</v>
      </c>
      <c r="G22" s="29">
        <v>77.633600000000001</v>
      </c>
    </row>
    <row r="23" spans="1:7" ht="26" customHeight="1">
      <c r="A23" s="62" t="s">
        <v>66</v>
      </c>
      <c r="B23" s="58"/>
      <c r="C23" s="63">
        <v>19500</v>
      </c>
      <c r="D23" s="65">
        <f>(0*3000+1*1000+4*300+16*1000)*12/10000</f>
        <v>21.84</v>
      </c>
      <c r="E23" s="67" t="s">
        <v>67</v>
      </c>
      <c r="F23" s="28">
        <f>D23+'[3]人工成本表 (大海则选煤厂)'!D23</f>
        <v>23.4</v>
      </c>
      <c r="G23" s="29">
        <v>23.4</v>
      </c>
    </row>
    <row r="24" spans="1:7" ht="15" customHeight="1">
      <c r="A24" s="68" t="s">
        <v>68</v>
      </c>
      <c r="B24" s="58"/>
      <c r="C24" s="63">
        <f>410000/12</f>
        <v>34166.666666666664</v>
      </c>
      <c r="D24" s="65">
        <f>C24*12/10000</f>
        <v>41</v>
      </c>
      <c r="E24" s="61" t="s">
        <v>69</v>
      </c>
      <c r="F24" s="28">
        <f>D24+'[3]人工成本表 (大海则选煤厂)'!D24</f>
        <v>41</v>
      </c>
      <c r="G24" s="29">
        <v>41</v>
      </c>
    </row>
    <row r="25" spans="1:7" ht="15" hidden="1" customHeight="1">
      <c r="A25" s="68" t="s">
        <v>70</v>
      </c>
      <c r="B25" s="58"/>
      <c r="C25" s="63"/>
      <c r="D25" s="65"/>
      <c r="E25" s="61"/>
      <c r="F25" s="28">
        <f>D25+'[3]人工成本表 (大海则选煤厂)'!D25</f>
        <v>0</v>
      </c>
    </row>
    <row r="26" spans="1:7" ht="15" customHeight="1">
      <c r="A26" s="68" t="s">
        <v>71</v>
      </c>
      <c r="B26" s="58"/>
      <c r="C26" s="63"/>
      <c r="D26" s="65"/>
      <c r="E26" s="61" t="s">
        <v>72</v>
      </c>
      <c r="F26" s="28">
        <f>D26+'[3]人工成本表 (大海则选煤厂)'!D26</f>
        <v>0</v>
      </c>
    </row>
    <row r="27" spans="1:7" ht="15" customHeight="1">
      <c r="A27" s="68" t="s">
        <v>73</v>
      </c>
      <c r="B27" s="58"/>
      <c r="C27" s="63"/>
      <c r="D27" s="65"/>
      <c r="E27" s="61"/>
      <c r="F27" s="28">
        <f>D27+'[3]人工成本表 (大海则选煤厂)'!D27</f>
        <v>0</v>
      </c>
    </row>
    <row r="28" spans="1:7" ht="15" customHeight="1">
      <c r="A28" s="68" t="s">
        <v>74</v>
      </c>
      <c r="B28" s="58"/>
      <c r="C28" s="63"/>
      <c r="D28" s="65"/>
      <c r="E28" s="61"/>
      <c r="F28" s="28">
        <f>D28+'[3]人工成本表 (大海则选煤厂)'!D28</f>
        <v>0</v>
      </c>
    </row>
    <row r="29" spans="1:7" ht="15" customHeight="1">
      <c r="A29" s="68" t="s">
        <v>75</v>
      </c>
      <c r="B29" s="58"/>
      <c r="C29" s="63"/>
      <c r="D29" s="65"/>
      <c r="E29" s="61" t="s">
        <v>76</v>
      </c>
      <c r="F29" s="28">
        <f>D29+'[3]人工成本表 (大海则选煤厂)'!D29</f>
        <v>0</v>
      </c>
    </row>
    <row r="30" spans="1:7" ht="15" customHeight="1">
      <c r="A30" s="57" t="s">
        <v>77</v>
      </c>
      <c r="B30" s="58"/>
      <c r="C30" s="59"/>
      <c r="D30" s="69">
        <f>SUM(D31:D34)</f>
        <v>493.85559999999998</v>
      </c>
      <c r="E30" s="66"/>
      <c r="F30" s="28">
        <f>D30+'[3]人工成本表 (大海则选煤厂)'!D30</f>
        <v>507.79559999999998</v>
      </c>
      <c r="G30" s="29">
        <v>509.35559999999998</v>
      </c>
    </row>
    <row r="31" spans="1:7" ht="15" customHeight="1">
      <c r="A31" s="70" t="s">
        <v>78</v>
      </c>
      <c r="B31" s="58">
        <v>12</v>
      </c>
      <c r="C31" s="63">
        <f>'[3]人工成本表 (大海则-总1+2)'!C31-'[3]人工成本表 (大海则选煤厂)'!C31-1300</f>
        <v>158213</v>
      </c>
      <c r="D31" s="65">
        <f>B31*C31/10000</f>
        <v>189.85560000000001</v>
      </c>
      <c r="E31" s="61" t="s">
        <v>79</v>
      </c>
      <c r="F31" s="28">
        <f>D31+'[3]人工成本表 (大海则选煤厂)'!D31</f>
        <v>194.29560000000001</v>
      </c>
      <c r="G31" s="29">
        <v>195.85560000000001</v>
      </c>
    </row>
    <row r="32" spans="1:7" ht="15" customHeight="1">
      <c r="A32" s="70" t="s">
        <v>80</v>
      </c>
      <c r="B32" s="58"/>
      <c r="C32" s="63">
        <v>820000</v>
      </c>
      <c r="D32" s="65">
        <f t="shared" ref="D32:D34" si="1">C32/10000</f>
        <v>82</v>
      </c>
      <c r="E32" s="61" t="s">
        <v>81</v>
      </c>
      <c r="F32" s="28">
        <f>D32+'[3]人工成本表 (大海则选煤厂)'!D32</f>
        <v>82</v>
      </c>
      <c r="G32" s="29">
        <v>82</v>
      </c>
    </row>
    <row r="33" spans="1:8" ht="15" customHeight="1">
      <c r="A33" s="70" t="s">
        <v>82</v>
      </c>
      <c r="B33" s="58"/>
      <c r="C33" s="63"/>
      <c r="D33" s="65">
        <f t="shared" si="1"/>
        <v>0</v>
      </c>
      <c r="E33" s="61"/>
      <c r="F33" s="28">
        <f>D33+'[3]人工成本表 (大海则选煤厂)'!D33</f>
        <v>0</v>
      </c>
      <c r="G33" s="29">
        <v>0</v>
      </c>
    </row>
    <row r="34" spans="1:8" ht="15" customHeight="1">
      <c r="A34" s="70" t="s">
        <v>83</v>
      </c>
      <c r="B34" s="58"/>
      <c r="C34" s="63">
        <f>'[3]人工成本表 (大海则-总1+2)'!C34-'[3]人工成本表 (大海则选煤厂)'!C34</f>
        <v>2220000</v>
      </c>
      <c r="D34" s="65">
        <f t="shared" si="1"/>
        <v>222</v>
      </c>
      <c r="E34" s="61" t="s">
        <v>84</v>
      </c>
      <c r="F34" s="28">
        <f>D34+'[3]人工成本表 (大海则选煤厂)'!D34</f>
        <v>231.5</v>
      </c>
      <c r="G34" s="29">
        <v>231.5</v>
      </c>
    </row>
    <row r="35" spans="1:8" ht="15" customHeight="1">
      <c r="A35" s="57" t="s">
        <v>85</v>
      </c>
      <c r="B35" s="71"/>
      <c r="C35" s="65"/>
      <c r="D35" s="69">
        <f>($D$8+$D$20+$D$31)*0.14</f>
        <v>1030.6082080000001</v>
      </c>
      <c r="E35" s="61" t="s">
        <v>86</v>
      </c>
      <c r="F35" s="28">
        <f>D35+'[3]人工成本表 (大海则选煤厂)'!D35</f>
        <v>1088.7376080000001</v>
      </c>
      <c r="G35" s="29">
        <v>1088.957408</v>
      </c>
    </row>
    <row r="36" spans="1:8" ht="15" customHeight="1">
      <c r="A36" s="57" t="s">
        <v>87</v>
      </c>
      <c r="B36" s="71"/>
      <c r="C36" s="65"/>
      <c r="D36" s="69">
        <f>($D$8+$D$20+$D$30)*0.02</f>
        <v>153.30974399999999</v>
      </c>
      <c r="E36" s="61" t="s">
        <v>88</v>
      </c>
      <c r="F36" s="28">
        <f>D36+'[3]人工成本表 (大海则选煤厂)'!D36</f>
        <v>161.803944</v>
      </c>
      <c r="G36" s="29">
        <v>161.83534399999999</v>
      </c>
    </row>
    <row r="37" spans="1:8" ht="15" customHeight="1">
      <c r="A37" s="57" t="s">
        <v>89</v>
      </c>
      <c r="B37" s="71"/>
      <c r="C37" s="65"/>
      <c r="D37" s="69">
        <f>($D$8+$D$20+$D$30)*0.025</f>
        <v>191.63718</v>
      </c>
      <c r="E37" s="61" t="s">
        <v>90</v>
      </c>
      <c r="F37" s="28">
        <f>D37+'[3]人工成本表 (大海则选煤厂)'!D37</f>
        <v>202.25493</v>
      </c>
      <c r="G37" s="29">
        <v>202.29418000000001</v>
      </c>
    </row>
    <row r="38" spans="1:8" ht="15" customHeight="1">
      <c r="A38" s="57" t="s">
        <v>91</v>
      </c>
      <c r="B38" s="58">
        <v>12</v>
      </c>
      <c r="C38" s="59">
        <f>'[3]人工成本表 (大海则-总1+2)'!C38-'[3]人工成本表 (大海则选煤厂)'!C38</f>
        <v>1146391.53</v>
      </c>
      <c r="D38" s="69">
        <f t="shared" ref="D38:D47" si="2">C38*B38/10000</f>
        <v>1375.669836</v>
      </c>
      <c r="E38" s="61" t="s">
        <v>92</v>
      </c>
      <c r="F38" s="28">
        <f>D38+'[3]人工成本表 (大海则选煤厂)'!D38</f>
        <v>1453.0524</v>
      </c>
      <c r="G38" s="29">
        <v>1453.0524</v>
      </c>
      <c r="H38" s="27">
        <f>ROUND(C38/536*36*0.85,2)</f>
        <v>65446.98</v>
      </c>
    </row>
    <row r="39" spans="1:8" ht="15" customHeight="1">
      <c r="A39" s="57" t="s">
        <v>93</v>
      </c>
      <c r="B39" s="72" t="s">
        <v>94</v>
      </c>
      <c r="C39" s="64"/>
      <c r="D39" s="60">
        <f>SUM(D40:D47)</f>
        <v>4395.8299799999995</v>
      </c>
      <c r="E39" s="66"/>
      <c r="F39" s="28">
        <f>D39+'[3]人工成本表 (大海则选煤厂)'!D39</f>
        <v>4643.0990399999991</v>
      </c>
      <c r="G39" s="29">
        <v>4643.0990400000001</v>
      </c>
      <c r="H39" s="27">
        <f t="shared" ref="H39:H47" si="3">ROUND(C39/536*36*0.85,2)</f>
        <v>0</v>
      </c>
    </row>
    <row r="40" spans="1:8" ht="15" customHeight="1">
      <c r="A40" s="62" t="s">
        <v>95</v>
      </c>
      <c r="B40" s="58">
        <v>12</v>
      </c>
      <c r="C40" s="64">
        <f>'[3]人工成本表 (大海则-总1+2)'!C40-'[3]人工成本表 (大海则选煤厂)'!C40</f>
        <v>1458084.43</v>
      </c>
      <c r="D40" s="65">
        <f t="shared" si="2"/>
        <v>1749.7013159999999</v>
      </c>
      <c r="E40" s="61" t="s">
        <v>92</v>
      </c>
      <c r="F40" s="28">
        <f>D40+'[3]人工成本表 (大海则选煤厂)'!D40</f>
        <v>1848.1234559999998</v>
      </c>
      <c r="G40" s="29">
        <v>1848.123456</v>
      </c>
      <c r="H40" s="27">
        <f t="shared" si="3"/>
        <v>83241.39</v>
      </c>
    </row>
    <row r="41" spans="1:8" ht="15" customHeight="1">
      <c r="A41" s="62" t="s">
        <v>96</v>
      </c>
      <c r="B41" s="58">
        <v>12</v>
      </c>
      <c r="C41" s="64">
        <f>'[3]人工成本表 (大海则-总1+2)'!C41-'[3]人工成本表 (大海则选煤厂)'!C41</f>
        <v>806739.44</v>
      </c>
      <c r="D41" s="65">
        <f t="shared" si="2"/>
        <v>968.08732799999996</v>
      </c>
      <c r="E41" s="61" t="s">
        <v>92</v>
      </c>
      <c r="F41" s="28">
        <f>D41+'[3]人工成本表 (大海则选煤厂)'!D41</f>
        <v>1022.5430399999999</v>
      </c>
      <c r="G41" s="29">
        <v>1022.54304</v>
      </c>
      <c r="H41" s="27">
        <f t="shared" si="3"/>
        <v>46056.39</v>
      </c>
    </row>
    <row r="42" spans="1:8" ht="15" customHeight="1">
      <c r="A42" s="62" t="s">
        <v>97</v>
      </c>
      <c r="B42" s="58">
        <v>12</v>
      </c>
      <c r="C42" s="64">
        <f>'[3]人工成本表 (大海则-总1+2)'!C42-'[3]人工成本表 (大海则选煤厂)'!C42</f>
        <v>612549.21</v>
      </c>
      <c r="D42" s="65">
        <f t="shared" si="2"/>
        <v>735.05905199999995</v>
      </c>
      <c r="E42" s="61" t="s">
        <v>92</v>
      </c>
      <c r="F42" s="28">
        <f>D42+'[3]人工成本表 (大海则选煤厂)'!D42</f>
        <v>776.40673199999992</v>
      </c>
      <c r="G42" s="29">
        <v>776.40673200000003</v>
      </c>
      <c r="H42" s="27">
        <f t="shared" si="3"/>
        <v>34970.160000000003</v>
      </c>
    </row>
    <row r="43" spans="1:8" ht="15" customHeight="1">
      <c r="A43" s="62" t="s">
        <v>98</v>
      </c>
      <c r="B43" s="58">
        <v>12</v>
      </c>
      <c r="C43" s="64">
        <f>'[3]人工成本表 (大海则-总1+2)'!C43-'[3]人工成本表 (大海则选煤厂)'!C43</f>
        <v>496321.81</v>
      </c>
      <c r="D43" s="65">
        <f t="shared" si="2"/>
        <v>595.58617199999992</v>
      </c>
      <c r="E43" s="61" t="s">
        <v>99</v>
      </c>
      <c r="F43" s="28">
        <f>D43+'[3]人工成本表 (大海则选煤厂)'!D43</f>
        <v>629.08838399999991</v>
      </c>
      <c r="G43" s="29">
        <v>629.08838400000002</v>
      </c>
      <c r="H43" s="27">
        <f t="shared" si="3"/>
        <v>28334.79</v>
      </c>
    </row>
    <row r="44" spans="1:8" ht="15" customHeight="1">
      <c r="A44" s="62" t="s">
        <v>100</v>
      </c>
      <c r="B44" s="58">
        <v>12</v>
      </c>
      <c r="C44" s="64">
        <f>'[3]人工成本表 (大海则-总1+2)'!C44-'[3]人工成本表 (大海则选煤厂)'!C44</f>
        <v>46257.31</v>
      </c>
      <c r="D44" s="65">
        <f t="shared" si="2"/>
        <v>55.508772</v>
      </c>
      <c r="E44" s="61" t="s">
        <v>92</v>
      </c>
      <c r="F44" s="28">
        <f>D44+'[3]人工成本表 (大海则选煤厂)'!D44</f>
        <v>58.631183999999998</v>
      </c>
      <c r="G44" s="29">
        <v>58.631183999999998</v>
      </c>
      <c r="H44" s="27">
        <f t="shared" si="3"/>
        <v>2640.81</v>
      </c>
    </row>
    <row r="45" spans="1:8" ht="15" customHeight="1">
      <c r="A45" s="62" t="s">
        <v>101</v>
      </c>
      <c r="B45" s="58">
        <v>12</v>
      </c>
      <c r="C45" s="64">
        <f>'[3]人工成本表 (大海则-总1+2)'!C45-'[3]人工成本表 (大海则选煤厂)'!C45</f>
        <v>139139.9</v>
      </c>
      <c r="D45" s="65">
        <f t="shared" si="2"/>
        <v>166.96787999999998</v>
      </c>
      <c r="E45" s="61" t="s">
        <v>92</v>
      </c>
      <c r="F45" s="28">
        <f>D45+'[3]人工成本表 (大海则选煤厂)'!D45</f>
        <v>176.35995599999998</v>
      </c>
      <c r="G45" s="29">
        <v>176.35995600000001</v>
      </c>
      <c r="H45" s="27">
        <f t="shared" si="3"/>
        <v>7943.43</v>
      </c>
    </row>
    <row r="46" spans="1:8" ht="15" customHeight="1">
      <c r="A46" s="62" t="s">
        <v>102</v>
      </c>
      <c r="B46" s="58">
        <v>12</v>
      </c>
      <c r="C46" s="64">
        <f>'[3]人工成本表 (大海则-总1+2)'!C46-'[3]人工成本表 (大海则选煤厂)'!C46</f>
        <v>4265.3099999999995</v>
      </c>
      <c r="D46" s="65">
        <f t="shared" si="2"/>
        <v>5.118371999999999</v>
      </c>
      <c r="E46" s="61" t="s">
        <v>92</v>
      </c>
      <c r="F46" s="28">
        <f>D46+'[3]人工成本表 (大海则选煤厂)'!D46</f>
        <v>5.4062879999999991</v>
      </c>
      <c r="G46" s="29">
        <v>5.406288</v>
      </c>
      <c r="H46" s="27">
        <f t="shared" si="3"/>
        <v>243.5</v>
      </c>
    </row>
    <row r="47" spans="1:8" ht="15.75" customHeight="1">
      <c r="A47" s="62" t="s">
        <v>103</v>
      </c>
      <c r="B47" s="58">
        <v>12</v>
      </c>
      <c r="C47" s="64">
        <f>'[3]人工成本表 (大海则-总1+2)'!C47-'[3]人工成本表 (大海则选煤厂)'!C47</f>
        <v>99834.240000000005</v>
      </c>
      <c r="D47" s="65">
        <f t="shared" si="2"/>
        <v>119.80108800000001</v>
      </c>
      <c r="E47" s="61" t="s">
        <v>99</v>
      </c>
      <c r="F47" s="28">
        <f>D47+'[3]人工成本表 (大海则选煤厂)'!D47</f>
        <v>126.54</v>
      </c>
      <c r="G47" s="29">
        <v>126.54</v>
      </c>
      <c r="H47" s="27">
        <f t="shared" si="3"/>
        <v>5699.49</v>
      </c>
    </row>
    <row r="48" spans="1:8" ht="15" customHeight="1">
      <c r="A48" s="73" t="s">
        <v>104</v>
      </c>
      <c r="B48" s="74">
        <f>B52+B51+B50</f>
        <v>69</v>
      </c>
      <c r="C48" s="75"/>
      <c r="D48" s="55">
        <f>D49+D53+D58+D59+D65</f>
        <v>976.12232073600012</v>
      </c>
      <c r="E48" s="76"/>
      <c r="F48" s="28">
        <f>D48+'[3]人工成本表 (大海则选煤厂)'!D48</f>
        <v>976.12232073600012</v>
      </c>
      <c r="G48" s="29">
        <v>976.12232073600001</v>
      </c>
    </row>
    <row r="49" spans="1:9" ht="15" customHeight="1">
      <c r="A49" s="57" t="s">
        <v>105</v>
      </c>
      <c r="B49" s="71">
        <f>SUM(B50:B52)</f>
        <v>69</v>
      </c>
      <c r="C49" s="59"/>
      <c r="D49" s="69">
        <f>SUM(D50:D52)</f>
        <v>636.27638400000001</v>
      </c>
      <c r="E49" s="77"/>
      <c r="F49" s="28">
        <f>D49+'[3]人工成本表 (大海则选煤厂)'!D49</f>
        <v>636.27638400000001</v>
      </c>
      <c r="G49" s="29">
        <v>636.27638400000001</v>
      </c>
    </row>
    <row r="50" spans="1:9" ht="15" customHeight="1">
      <c r="A50" s="62" t="s">
        <v>106</v>
      </c>
      <c r="B50" s="58">
        <v>49</v>
      </c>
      <c r="C50" s="64">
        <f>ROUND(D50/B50,2)*10000</f>
        <v>109100</v>
      </c>
      <c r="D50" s="65">
        <f>[4]大海则!$H$17/10000</f>
        <v>534.65605199999993</v>
      </c>
      <c r="E50" s="61" t="s">
        <v>51</v>
      </c>
      <c r="F50" s="28">
        <f>D50+'[3]人工成本表 (大海则选煤厂)'!D50</f>
        <v>534.65605199999993</v>
      </c>
      <c r="G50" s="29">
        <v>534.65605200000005</v>
      </c>
    </row>
    <row r="51" spans="1:9" ht="15" customHeight="1">
      <c r="A51" s="62" t="s">
        <v>107</v>
      </c>
      <c r="B51" s="58">
        <v>4</v>
      </c>
      <c r="C51" s="64">
        <f>ROUND(D51/B51,2)*10000</f>
        <v>62400</v>
      </c>
      <c r="D51" s="65">
        <f>[4]大海则!$H$30/10000</f>
        <v>24.940224000000001</v>
      </c>
      <c r="E51" s="61" t="s">
        <v>51</v>
      </c>
      <c r="F51" s="28">
        <f>D51+'[3]人工成本表 (大海则选煤厂)'!D51</f>
        <v>24.940224000000001</v>
      </c>
      <c r="G51" s="29">
        <v>24.940224000000001</v>
      </c>
    </row>
    <row r="52" spans="1:9" ht="15" customHeight="1">
      <c r="A52" s="62" t="s">
        <v>108</v>
      </c>
      <c r="B52" s="58">
        <v>16</v>
      </c>
      <c r="C52" s="64">
        <v>42600</v>
      </c>
      <c r="D52" s="65">
        <f>[4]大海则!$H$40/10000</f>
        <v>76.68010799999999</v>
      </c>
      <c r="E52" s="61" t="s">
        <v>51</v>
      </c>
      <c r="F52" s="28">
        <f>D52+'[3]人工成本表 (大海则选煤厂)'!D52</f>
        <v>76.68010799999999</v>
      </c>
      <c r="G52" s="29">
        <v>76.680108000000004</v>
      </c>
    </row>
    <row r="53" spans="1:9" ht="15" customHeight="1">
      <c r="A53" s="57" t="s">
        <v>109</v>
      </c>
      <c r="B53" s="58"/>
      <c r="C53" s="64"/>
      <c r="D53" s="69">
        <f>SUM(D54:D57)</f>
        <v>141.05879999999999</v>
      </c>
      <c r="E53" s="66"/>
      <c r="F53" s="28">
        <f>D53+'[3]人工成本表 (大海则选煤厂)'!D53</f>
        <v>141.05879999999999</v>
      </c>
      <c r="G53" s="29">
        <v>141.05879999999999</v>
      </c>
    </row>
    <row r="54" spans="1:9" ht="15" customHeight="1">
      <c r="A54" s="62" t="s">
        <v>110</v>
      </c>
      <c r="B54" s="58">
        <f>B50+B51</f>
        <v>53</v>
      </c>
      <c r="C54" s="63">
        <v>0</v>
      </c>
      <c r="D54" s="65">
        <f>(B50*30+B51*20)*27*12/10000</f>
        <v>50.22</v>
      </c>
      <c r="E54" s="61" t="s">
        <v>111</v>
      </c>
      <c r="F54" s="28">
        <f>D54+'[3]人工成本表 (大海则选煤厂)'!D54</f>
        <v>50.22</v>
      </c>
      <c r="G54" s="29">
        <v>50.22</v>
      </c>
    </row>
    <row r="55" spans="1:9" ht="15" customHeight="1">
      <c r="A55" s="62" t="s">
        <v>112</v>
      </c>
      <c r="B55" s="58">
        <f>B50+B51</f>
        <v>53</v>
      </c>
      <c r="C55" s="63">
        <v>0</v>
      </c>
      <c r="D55" s="65">
        <f>(10+12)/3*27*12*B55/10000</f>
        <v>12.5928</v>
      </c>
      <c r="E55" s="61" t="s">
        <v>113</v>
      </c>
      <c r="F55" s="28">
        <f>D55+'[3]人工成本表 (大海则选煤厂)'!D55</f>
        <v>12.5928</v>
      </c>
      <c r="G55" s="29">
        <v>12.5928</v>
      </c>
    </row>
    <row r="56" spans="1:9" ht="15" customHeight="1">
      <c r="A56" s="62" t="s">
        <v>114</v>
      </c>
      <c r="B56" s="58">
        <f>B49</f>
        <v>69</v>
      </c>
      <c r="C56" s="63">
        <f>35*12*27</f>
        <v>11340</v>
      </c>
      <c r="D56" s="65">
        <f>B56*C56/10000</f>
        <v>78.245999999999995</v>
      </c>
      <c r="E56" s="61" t="s">
        <v>115</v>
      </c>
      <c r="F56" s="28">
        <f>D56+'[3]人工成本表 (大海则选煤厂)'!D56</f>
        <v>78.245999999999995</v>
      </c>
      <c r="G56" s="29">
        <v>78.245999999999995</v>
      </c>
    </row>
    <row r="57" spans="1:9" ht="15" customHeight="1">
      <c r="A57" s="62" t="s">
        <v>116</v>
      </c>
      <c r="B57" s="58"/>
      <c r="C57" s="63"/>
      <c r="D57" s="65">
        <v>0</v>
      </c>
      <c r="E57" s="61"/>
      <c r="F57" s="28">
        <f>D57+'[3]人工成本表 (大海则选煤厂)'!D57</f>
        <v>0</v>
      </c>
      <c r="G57" s="29">
        <v>0</v>
      </c>
    </row>
    <row r="58" spans="1:9" ht="15" customHeight="1">
      <c r="A58" s="57" t="s">
        <v>117</v>
      </c>
      <c r="B58" s="58">
        <v>12</v>
      </c>
      <c r="C58" s="64">
        <f>B52*70</f>
        <v>1120</v>
      </c>
      <c r="D58" s="69">
        <f>C58*B58/10000</f>
        <v>1.3440000000000001</v>
      </c>
      <c r="E58" s="61" t="s">
        <v>118</v>
      </c>
      <c r="F58" s="28">
        <f>D58+'[3]人工成本表 (大海则选煤厂)'!D58</f>
        <v>1.3440000000000001</v>
      </c>
      <c r="G58" s="29">
        <v>1.3440000000000001</v>
      </c>
    </row>
    <row r="59" spans="1:9" ht="15" customHeight="1">
      <c r="A59" s="57" t="s">
        <v>119</v>
      </c>
      <c r="B59" s="72" t="s">
        <v>94</v>
      </c>
      <c r="C59" s="64"/>
      <c r="D59" s="69">
        <f>SUM(D60:D64)</f>
        <v>197.44313673599999</v>
      </c>
      <c r="E59" s="78" t="s">
        <v>120</v>
      </c>
      <c r="F59" s="28">
        <f>D59+'[3]人工成本表 (大海则选煤厂)'!D59</f>
        <v>197.44313673599999</v>
      </c>
      <c r="G59" s="29">
        <v>197.44313673600001</v>
      </c>
    </row>
    <row r="60" spans="1:9" ht="15" customHeight="1">
      <c r="A60" s="62" t="s">
        <v>121</v>
      </c>
      <c r="B60" s="58">
        <v>12</v>
      </c>
      <c r="C60" s="64">
        <f t="shared" ref="C60:C64" si="4">D60/B60</f>
        <v>10.364469120000001</v>
      </c>
      <c r="D60" s="65">
        <f t="shared" ref="D60:D64" si="5">($D$49+$D$53)*E60</f>
        <v>124.37362944</v>
      </c>
      <c r="E60" s="79">
        <v>0.16</v>
      </c>
      <c r="F60" s="28">
        <f>D60+'[3]人工成本表 (大海则选煤厂)'!D60</f>
        <v>124.37362944</v>
      </c>
      <c r="G60" s="29">
        <v>124.37362944</v>
      </c>
    </row>
    <row r="61" spans="1:9" ht="15" customHeight="1">
      <c r="A61" s="62" t="s">
        <v>122</v>
      </c>
      <c r="B61" s="58">
        <v>12</v>
      </c>
      <c r="C61" s="64">
        <f t="shared" si="4"/>
        <v>3.8866759200000001</v>
      </c>
      <c r="D61" s="65">
        <f t="shared" si="5"/>
        <v>46.640111040000001</v>
      </c>
      <c r="E61" s="79">
        <v>0.06</v>
      </c>
      <c r="F61" s="28">
        <f>D61+'[3]人工成本表 (大海则选煤厂)'!D61</f>
        <v>46.640111040000001</v>
      </c>
      <c r="G61" s="29">
        <v>46.640111040000001</v>
      </c>
    </row>
    <row r="62" spans="1:9" ht="15" customHeight="1">
      <c r="A62" s="62" t="s">
        <v>123</v>
      </c>
      <c r="B62" s="58">
        <v>12</v>
      </c>
      <c r="C62" s="64">
        <f t="shared" si="4"/>
        <v>0.32388966000000002</v>
      </c>
      <c r="D62" s="65">
        <f t="shared" si="5"/>
        <v>3.8866759200000001</v>
      </c>
      <c r="E62" s="80">
        <v>5.0000000000000001E-3</v>
      </c>
      <c r="F62" s="28">
        <f>D62+'[3]人工成本表 (大海则选煤厂)'!D62</f>
        <v>3.8866759200000001</v>
      </c>
      <c r="G62" s="31">
        <v>3.8866759200000001</v>
      </c>
      <c r="H62" s="33"/>
      <c r="I62" s="33"/>
    </row>
    <row r="63" spans="1:9" ht="15" customHeight="1">
      <c r="A63" s="62" t="s">
        <v>124</v>
      </c>
      <c r="B63" s="58">
        <v>12</v>
      </c>
      <c r="C63" s="64">
        <f t="shared" si="4"/>
        <v>1.2307807079999999</v>
      </c>
      <c r="D63" s="65">
        <f t="shared" si="5"/>
        <v>14.769368496</v>
      </c>
      <c r="E63" s="80">
        <v>1.9E-2</v>
      </c>
      <c r="F63" s="28">
        <f>D63+'[3]人工成本表 (大海则选煤厂)'!D63</f>
        <v>14.769368496</v>
      </c>
      <c r="G63" s="31">
        <v>14.769368496</v>
      </c>
      <c r="H63" s="33"/>
      <c r="I63" s="33"/>
    </row>
    <row r="64" spans="1:9" ht="15" customHeight="1">
      <c r="A64" s="62" t="s">
        <v>125</v>
      </c>
      <c r="B64" s="58">
        <v>12</v>
      </c>
      <c r="C64" s="64">
        <f t="shared" si="4"/>
        <v>0.64777932000000005</v>
      </c>
      <c r="D64" s="65">
        <f t="shared" si="5"/>
        <v>7.7733518400000001</v>
      </c>
      <c r="E64" s="79">
        <v>0.01</v>
      </c>
      <c r="F64" s="28">
        <f>D64+'[3]人工成本表 (大海则选煤厂)'!D64</f>
        <v>7.7733518400000001</v>
      </c>
      <c r="G64" s="31">
        <v>7.7733518400000001</v>
      </c>
      <c r="H64" s="33"/>
      <c r="I64" s="33"/>
    </row>
    <row r="65" spans="1:9" ht="15" customHeight="1">
      <c r="A65" s="81" t="s">
        <v>126</v>
      </c>
      <c r="B65" s="58"/>
      <c r="C65" s="64"/>
      <c r="D65" s="69"/>
      <c r="E65" s="61"/>
      <c r="F65" s="28">
        <f>'[3]人工成本表 (管理费用-1)'!D65+'[3]人工成本表 (生产-2)'!D65</f>
        <v>0</v>
      </c>
      <c r="G65" s="31"/>
      <c r="H65" s="33"/>
      <c r="I65" s="33"/>
    </row>
    <row r="66" spans="1:9" ht="15" customHeight="1">
      <c r="A66" s="82" t="s">
        <v>127</v>
      </c>
      <c r="B66" s="83"/>
      <c r="C66" s="84" t="s">
        <v>128</v>
      </c>
      <c r="D66" s="84"/>
      <c r="E66" s="83" t="s">
        <v>129</v>
      </c>
    </row>
    <row r="67" spans="1:9" ht="15" customHeight="1"/>
    <row r="68" spans="1:9" ht="15" customHeight="1"/>
    <row r="69" spans="1:9" ht="15" customHeight="1"/>
    <row r="70" spans="1:9" ht="15" customHeight="1"/>
    <row r="71" spans="1:9" ht="15" customHeight="1"/>
    <row r="72" spans="1:9" ht="15" customHeight="1"/>
    <row r="73" spans="1:9" ht="15" customHeight="1"/>
    <row r="74" spans="1:9" ht="15" customHeight="1"/>
    <row r="75" spans="1:9" ht="15" customHeight="1"/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3">
    <mergeCell ref="A1:B1"/>
    <mergeCell ref="A2:B2"/>
    <mergeCell ref="A3:E3"/>
  </mergeCells>
  <phoneticPr fontId="2" type="noConversion"/>
  <pageMargins left="0.39305555555555599" right="3.8888888888888903E-2" top="0.62986111111111098" bottom="0.22013888888888899" header="0.156944444444444" footer="0.29861111111111099"/>
  <pageSetup paperSize="9" scale="90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86"/>
  <sheetViews>
    <sheetView topLeftCell="A3" workbookViewId="0">
      <selection activeCell="C37" sqref="C37"/>
    </sheetView>
  </sheetViews>
  <sheetFormatPr defaultColWidth="9.796875" defaultRowHeight="15.75"/>
  <cols>
    <col min="1" max="1" width="26.9296875" style="85" customWidth="1"/>
    <col min="2" max="2" width="10.59765625" style="86" customWidth="1"/>
    <col min="3" max="3" width="13.33203125" style="27" customWidth="1"/>
    <col min="4" max="4" width="12.53125" style="27" customWidth="1"/>
    <col min="5" max="5" width="51" style="27" customWidth="1"/>
    <col min="6" max="6" width="17.9296875" style="28" hidden="1" customWidth="1"/>
    <col min="7" max="7" width="18.73046875" style="29" hidden="1" customWidth="1"/>
    <col min="8" max="8" width="41.33203125" style="27" customWidth="1"/>
    <col min="9" max="9" width="16.53125" style="27" customWidth="1"/>
    <col min="10" max="10" width="9.796875" style="27" customWidth="1"/>
    <col min="11" max="16384" width="9.796875" style="27"/>
  </cols>
  <sheetData>
    <row r="1" spans="1:9" ht="14.2" hidden="1" customHeight="1">
      <c r="A1" s="102" t="s">
        <v>31</v>
      </c>
      <c r="B1" s="103"/>
    </row>
    <row r="2" spans="1:9" ht="14.2" hidden="1" customHeight="1">
      <c r="A2" s="102" t="s">
        <v>32</v>
      </c>
      <c r="B2" s="103"/>
    </row>
    <row r="3" spans="1:9" ht="21" customHeight="1">
      <c r="A3" s="104" t="s">
        <v>33</v>
      </c>
      <c r="B3" s="105"/>
      <c r="C3" s="105"/>
      <c r="D3" s="105"/>
      <c r="E3" s="105"/>
      <c r="F3" s="30"/>
      <c r="G3" s="31"/>
      <c r="H3" s="32"/>
      <c r="I3" s="33"/>
    </row>
    <row r="4" spans="1:9" ht="15.75" customHeight="1">
      <c r="A4" s="34" t="s">
        <v>34</v>
      </c>
      <c r="B4" s="35"/>
      <c r="C4" s="36"/>
      <c r="D4" s="37"/>
      <c r="E4" s="38" t="s">
        <v>35</v>
      </c>
      <c r="F4" s="39"/>
      <c r="G4" s="40"/>
      <c r="H4" s="41"/>
      <c r="I4" s="41"/>
    </row>
    <row r="5" spans="1:9" ht="15" customHeight="1">
      <c r="A5" s="42" t="s">
        <v>36</v>
      </c>
      <c r="B5" s="43" t="s">
        <v>37</v>
      </c>
      <c r="C5" s="44" t="s">
        <v>38</v>
      </c>
      <c r="D5" s="45" t="s">
        <v>39</v>
      </c>
      <c r="E5" s="46" t="s">
        <v>19</v>
      </c>
      <c r="F5" s="40" t="s">
        <v>40</v>
      </c>
      <c r="G5" s="40" t="s">
        <v>40</v>
      </c>
      <c r="H5" s="41"/>
      <c r="I5" s="41"/>
    </row>
    <row r="6" spans="1:9" ht="15" customHeight="1">
      <c r="A6" s="47" t="s">
        <v>41</v>
      </c>
      <c r="B6" s="48">
        <f>B7+B48</f>
        <v>36</v>
      </c>
      <c r="C6" s="49">
        <v>0</v>
      </c>
      <c r="D6" s="50">
        <f>D7+D48</f>
        <v>828.45157399999994</v>
      </c>
      <c r="E6" s="51"/>
      <c r="F6" s="28">
        <f>D6+'[3]人工成本表 (大海则)'!D6</f>
        <v>16618.964642735998</v>
      </c>
      <c r="G6" s="29">
        <v>16617.127892736</v>
      </c>
    </row>
    <row r="7" spans="1:9" ht="15" customHeight="1">
      <c r="A7" s="52" t="s">
        <v>42</v>
      </c>
      <c r="B7" s="53">
        <f>SUM(B9:B18)</f>
        <v>36</v>
      </c>
      <c r="C7" s="54"/>
      <c r="D7" s="55">
        <f>D8+D30+D20+D35+D36+D37+D38+D39</f>
        <v>828.45157399999994</v>
      </c>
      <c r="E7" s="56"/>
      <c r="F7" s="28">
        <f>D7+'[3]人工成本表 (大海则)'!D7</f>
        <v>15642.842322</v>
      </c>
      <c r="G7" s="29">
        <v>15641.005572</v>
      </c>
    </row>
    <row r="8" spans="1:9" ht="15" customHeight="1">
      <c r="A8" s="57" t="s">
        <v>43</v>
      </c>
      <c r="B8" s="58"/>
      <c r="C8" s="59"/>
      <c r="D8" s="60">
        <f>SUM(D9:D19)</f>
        <v>409.21</v>
      </c>
      <c r="E8" s="61" t="s">
        <v>44</v>
      </c>
      <c r="F8" s="28">
        <f>D8+'[3]人工成本表 (大海则)'!D8</f>
        <v>7174.52</v>
      </c>
      <c r="G8" s="29">
        <v>7174.53</v>
      </c>
    </row>
    <row r="9" spans="1:9" ht="15" customHeight="1">
      <c r="A9" s="62" t="s">
        <v>45</v>
      </c>
      <c r="B9" s="63"/>
      <c r="C9" s="64">
        <v>388888</v>
      </c>
      <c r="D9" s="65">
        <f t="shared" ref="D9:D17" si="0">ROUND(B9*C9/10000,2)</f>
        <v>0</v>
      </c>
      <c r="E9" s="61" t="s">
        <v>46</v>
      </c>
      <c r="F9" s="28">
        <f>D9+'[3]人工成本表 (大海则)'!D9</f>
        <v>38.89</v>
      </c>
      <c r="G9" s="29">
        <v>38.89</v>
      </c>
    </row>
    <row r="10" spans="1:9" ht="15" customHeight="1">
      <c r="A10" s="62" t="s">
        <v>47</v>
      </c>
      <c r="B10" s="63"/>
      <c r="C10" s="64">
        <v>350000</v>
      </c>
      <c r="D10" s="65">
        <f t="shared" si="0"/>
        <v>0</v>
      </c>
      <c r="E10" s="61" t="s">
        <v>46</v>
      </c>
      <c r="F10" s="28">
        <f>D10+'[3]人工成本表 (大海则)'!D10</f>
        <v>70</v>
      </c>
      <c r="G10" s="29">
        <v>70</v>
      </c>
    </row>
    <row r="11" spans="1:9" ht="15" customHeight="1">
      <c r="A11" s="62" t="s">
        <v>48</v>
      </c>
      <c r="B11" s="63"/>
      <c r="C11" s="64">
        <v>311110.40000000002</v>
      </c>
      <c r="D11" s="65">
        <f t="shared" si="0"/>
        <v>0</v>
      </c>
      <c r="E11" s="61" t="s">
        <v>46</v>
      </c>
      <c r="F11" s="28">
        <f>D11+'[3]人工成本表 (大海则)'!D11</f>
        <v>186.67</v>
      </c>
      <c r="G11" s="29">
        <v>186.67</v>
      </c>
    </row>
    <row r="12" spans="1:9" ht="15" customHeight="1">
      <c r="A12" s="62" t="s">
        <v>49</v>
      </c>
      <c r="B12" s="63"/>
      <c r="C12" s="64">
        <v>233332.8</v>
      </c>
      <c r="D12" s="65">
        <f t="shared" si="0"/>
        <v>0</v>
      </c>
      <c r="E12" s="61" t="s">
        <v>46</v>
      </c>
      <c r="F12" s="28">
        <f>D12+'[3]人工成本表 (大海则)'!D12</f>
        <v>23.33</v>
      </c>
      <c r="G12" s="29">
        <v>23.33</v>
      </c>
    </row>
    <row r="13" spans="1:9" ht="15" customHeight="1">
      <c r="A13" s="62" t="s">
        <v>50</v>
      </c>
      <c r="B13" s="63"/>
      <c r="C13" s="64">
        <v>155900</v>
      </c>
      <c r="D13" s="65">
        <f t="shared" si="0"/>
        <v>0</v>
      </c>
      <c r="E13" s="61" t="s">
        <v>51</v>
      </c>
      <c r="F13" s="28">
        <f>D13+'[3]人工成本表 (大海则)'!D13</f>
        <v>3195.95</v>
      </c>
      <c r="G13" s="29">
        <v>3195.95</v>
      </c>
    </row>
    <row r="14" spans="1:9" ht="15" customHeight="1">
      <c r="A14" s="62" t="s">
        <v>52</v>
      </c>
      <c r="B14" s="63"/>
      <c r="C14" s="64">
        <v>124700</v>
      </c>
      <c r="D14" s="65">
        <f t="shared" si="0"/>
        <v>0</v>
      </c>
      <c r="E14" s="61" t="s">
        <v>51</v>
      </c>
      <c r="F14" s="28">
        <f>D14+'[3]人工成本表 (大海则)'!D14</f>
        <v>2444.12</v>
      </c>
      <c r="G14" s="29">
        <v>2444.12</v>
      </c>
    </row>
    <row r="15" spans="1:9" ht="15" customHeight="1">
      <c r="A15" s="62" t="s">
        <v>53</v>
      </c>
      <c r="B15" s="63"/>
      <c r="C15" s="64">
        <v>102900</v>
      </c>
      <c r="D15" s="65">
        <f t="shared" si="0"/>
        <v>0</v>
      </c>
      <c r="E15" s="61" t="s">
        <v>130</v>
      </c>
      <c r="F15" s="28">
        <f>D15+'[3]人工成本表 (大海则)'!D15</f>
        <v>205.8</v>
      </c>
      <c r="G15" s="29">
        <v>205.8</v>
      </c>
    </row>
    <row r="16" spans="1:9" ht="15" customHeight="1">
      <c r="A16" s="62" t="s">
        <v>55</v>
      </c>
      <c r="B16" s="63">
        <v>36</v>
      </c>
      <c r="C16" s="64">
        <v>112230</v>
      </c>
      <c r="D16" s="65">
        <f t="shared" si="0"/>
        <v>404.03</v>
      </c>
      <c r="E16" s="61" t="s">
        <v>130</v>
      </c>
      <c r="F16" s="28">
        <f>D16+'[3]人工成本表 (大海则)'!D16</f>
        <v>805.22</v>
      </c>
      <c r="G16" s="29">
        <v>805.22</v>
      </c>
    </row>
    <row r="17" spans="1:7" ht="15" customHeight="1">
      <c r="A17" s="62" t="s">
        <v>56</v>
      </c>
      <c r="B17" s="63"/>
      <c r="C17" s="64">
        <v>78700</v>
      </c>
      <c r="D17" s="65">
        <f t="shared" si="0"/>
        <v>0</v>
      </c>
      <c r="E17" s="61" t="s">
        <v>51</v>
      </c>
      <c r="F17" s="28">
        <f>D17+'[3]人工成本表 (大海则)'!D17</f>
        <v>125.92</v>
      </c>
      <c r="G17" s="29">
        <v>125.92</v>
      </c>
    </row>
    <row r="18" spans="1:7" ht="15.75" customHeight="1">
      <c r="A18" s="62" t="s">
        <v>57</v>
      </c>
      <c r="B18" s="63"/>
      <c r="C18" s="64">
        <v>41800</v>
      </c>
      <c r="D18" s="65">
        <v>0</v>
      </c>
      <c r="E18" s="61" t="s">
        <v>58</v>
      </c>
      <c r="F18" s="28">
        <f>D18+'[3]人工成本表 (大海则)'!D18</f>
        <v>4.18</v>
      </c>
      <c r="G18" s="29">
        <v>4.18</v>
      </c>
    </row>
    <row r="19" spans="1:7" ht="15" customHeight="1">
      <c r="A19" s="62" t="s">
        <v>59</v>
      </c>
      <c r="B19" s="63">
        <f>B7</f>
        <v>36</v>
      </c>
      <c r="C19" s="64">
        <f>10*12*12</f>
        <v>1440</v>
      </c>
      <c r="D19" s="65">
        <f>ROUND(B19*C19/10000,2)</f>
        <v>5.18</v>
      </c>
      <c r="E19" s="61" t="s">
        <v>60</v>
      </c>
      <c r="F19" s="28">
        <f>D19+'[3]人工成本表 (大海则)'!D19</f>
        <v>74.44</v>
      </c>
      <c r="G19" s="29">
        <v>74.45</v>
      </c>
    </row>
    <row r="20" spans="1:7" ht="15" customHeight="1">
      <c r="A20" s="57" t="s">
        <v>61</v>
      </c>
      <c r="B20" s="58"/>
      <c r="C20" s="59"/>
      <c r="D20" s="60">
        <f>SUM(D21:D29)</f>
        <v>1.56</v>
      </c>
      <c r="E20" s="66"/>
      <c r="F20" s="28">
        <f>D20+'[3]人工成本表 (大海则)'!D20</f>
        <v>407.88159999999999</v>
      </c>
      <c r="G20" s="29">
        <v>407.88159999999999</v>
      </c>
    </row>
    <row r="21" spans="1:7" ht="15" customHeight="1">
      <c r="A21" s="62" t="s">
        <v>62</v>
      </c>
      <c r="B21" s="58">
        <f>B13+B14</f>
        <v>0</v>
      </c>
      <c r="C21" s="63">
        <v>0</v>
      </c>
      <c r="D21" s="65">
        <f>(B13*30+B14*20)*22*12/10000</f>
        <v>0</v>
      </c>
      <c r="E21" s="61" t="s">
        <v>63</v>
      </c>
      <c r="F21" s="28">
        <f>D21+'[3]人工成本表 (大海则)'!D21</f>
        <v>265.84800000000001</v>
      </c>
      <c r="G21" s="29">
        <v>265.84800000000001</v>
      </c>
    </row>
    <row r="22" spans="1:7" ht="15" customHeight="1">
      <c r="A22" s="62" t="s">
        <v>64</v>
      </c>
      <c r="B22" s="58">
        <f>B13+B14</f>
        <v>0</v>
      </c>
      <c r="C22" s="63">
        <v>0</v>
      </c>
      <c r="D22" s="65">
        <f>(10+12)/3*22*12*B22/10000</f>
        <v>0</v>
      </c>
      <c r="E22" s="61" t="s">
        <v>65</v>
      </c>
      <c r="F22" s="28">
        <f>D22+'[3]人工成本表 (大海则)'!D22</f>
        <v>77.633600000000001</v>
      </c>
      <c r="G22" s="29">
        <v>77.633600000000001</v>
      </c>
    </row>
    <row r="23" spans="1:7" ht="26" customHeight="1">
      <c r="A23" s="62" t="s">
        <v>66</v>
      </c>
      <c r="B23" s="58"/>
      <c r="C23" s="63"/>
      <c r="D23" s="65">
        <f>(0*3000+0*1000+1*300+1*1000)*12/10000</f>
        <v>1.56</v>
      </c>
      <c r="E23" s="67" t="s">
        <v>67</v>
      </c>
      <c r="F23" s="28">
        <f>D23+'[3]人工成本表 (大海则)'!D23</f>
        <v>23.4</v>
      </c>
      <c r="G23" s="29">
        <v>23.4</v>
      </c>
    </row>
    <row r="24" spans="1:7" ht="15" customHeight="1">
      <c r="A24" s="68" t="s">
        <v>68</v>
      </c>
      <c r="B24" s="58"/>
      <c r="C24" s="63"/>
      <c r="D24" s="65">
        <f>C24*12/10000</f>
        <v>0</v>
      </c>
      <c r="E24" s="61" t="s">
        <v>69</v>
      </c>
      <c r="F24" s="28">
        <f>D24+'[3]人工成本表 (大海则)'!D24</f>
        <v>41</v>
      </c>
      <c r="G24" s="29">
        <v>41</v>
      </c>
    </row>
    <row r="25" spans="1:7" ht="15" hidden="1" customHeight="1">
      <c r="A25" s="68" t="s">
        <v>70</v>
      </c>
      <c r="B25" s="58"/>
      <c r="C25" s="63"/>
      <c r="D25" s="65"/>
      <c r="E25" s="61"/>
      <c r="F25" s="28">
        <f>D25+'[3]人工成本表 (大海则)'!D25</f>
        <v>0</v>
      </c>
    </row>
    <row r="26" spans="1:7" ht="15" customHeight="1">
      <c r="A26" s="68" t="s">
        <v>71</v>
      </c>
      <c r="B26" s="58"/>
      <c r="C26" s="63"/>
      <c r="D26" s="65"/>
      <c r="E26" s="61" t="s">
        <v>72</v>
      </c>
      <c r="F26" s="28">
        <f>D26+'[3]人工成本表 (大海则)'!D26</f>
        <v>0</v>
      </c>
    </row>
    <row r="27" spans="1:7" ht="15" customHeight="1">
      <c r="A27" s="68" t="s">
        <v>73</v>
      </c>
      <c r="B27" s="58"/>
      <c r="C27" s="63"/>
      <c r="D27" s="65"/>
      <c r="E27" s="61"/>
      <c r="F27" s="28">
        <f>D27+'[3]人工成本表 (大海则)'!D27</f>
        <v>0</v>
      </c>
    </row>
    <row r="28" spans="1:7" ht="15" customHeight="1">
      <c r="A28" s="68" t="s">
        <v>74</v>
      </c>
      <c r="B28" s="58"/>
      <c r="C28" s="63"/>
      <c r="D28" s="65"/>
      <c r="E28" s="61"/>
      <c r="F28" s="28">
        <f>D28+'[3]人工成本表 (大海则)'!D28</f>
        <v>0</v>
      </c>
    </row>
    <row r="29" spans="1:7" ht="15" customHeight="1">
      <c r="A29" s="68" t="s">
        <v>75</v>
      </c>
      <c r="B29" s="58"/>
      <c r="C29" s="63"/>
      <c r="D29" s="65"/>
      <c r="E29" s="61" t="s">
        <v>76</v>
      </c>
      <c r="F29" s="28">
        <f>D29+'[3]人工成本表 (大海则)'!D29</f>
        <v>0</v>
      </c>
    </row>
    <row r="30" spans="1:7" ht="15" customHeight="1">
      <c r="A30" s="57" t="s">
        <v>77</v>
      </c>
      <c r="B30" s="58"/>
      <c r="C30" s="59"/>
      <c r="D30" s="69">
        <f>SUM(D31:D34)</f>
        <v>15.5</v>
      </c>
      <c r="E30" s="66"/>
      <c r="F30" s="28">
        <f>D30+'[3]人工成本表 (大海则)'!D30</f>
        <v>510.91559999999998</v>
      </c>
      <c r="G30" s="29">
        <v>509.35559999999998</v>
      </c>
    </row>
    <row r="31" spans="1:7" ht="15" customHeight="1">
      <c r="A31" s="70" t="s">
        <v>78</v>
      </c>
      <c r="B31" s="58">
        <v>12</v>
      </c>
      <c r="C31" s="63">
        <v>5000</v>
      </c>
      <c r="D31" s="65">
        <f>B31*C31/10000</f>
        <v>6</v>
      </c>
      <c r="E31" s="61" t="s">
        <v>79</v>
      </c>
      <c r="F31" s="28">
        <f>D31+'[3]人工成本表 (大海则)'!D31</f>
        <v>197.41560000000001</v>
      </c>
      <c r="G31" s="29">
        <v>195.85560000000001</v>
      </c>
    </row>
    <row r="32" spans="1:7" ht="15" customHeight="1">
      <c r="A32" s="70" t="s">
        <v>80</v>
      </c>
      <c r="B32" s="58"/>
      <c r="C32" s="63">
        <v>0</v>
      </c>
      <c r="D32" s="65">
        <f t="shared" ref="D32:D34" si="1">C32/10000</f>
        <v>0</v>
      </c>
      <c r="E32" s="61" t="s">
        <v>81</v>
      </c>
      <c r="F32" s="28">
        <f>D32+'[3]人工成本表 (大海则)'!D32</f>
        <v>82</v>
      </c>
      <c r="G32" s="29">
        <v>82</v>
      </c>
    </row>
    <row r="33" spans="1:7" ht="15" customHeight="1">
      <c r="A33" s="70" t="s">
        <v>82</v>
      </c>
      <c r="B33" s="58"/>
      <c r="C33" s="63"/>
      <c r="D33" s="65">
        <f t="shared" si="1"/>
        <v>0</v>
      </c>
      <c r="E33" s="61"/>
      <c r="F33" s="28">
        <f>D33+'[3]人工成本表 (大海则)'!D33</f>
        <v>0</v>
      </c>
      <c r="G33" s="29">
        <v>0</v>
      </c>
    </row>
    <row r="34" spans="1:7" ht="15" customHeight="1">
      <c r="A34" s="70" t="s">
        <v>83</v>
      </c>
      <c r="B34" s="58"/>
      <c r="C34" s="63">
        <v>95000</v>
      </c>
      <c r="D34" s="65">
        <f t="shared" si="1"/>
        <v>9.5</v>
      </c>
      <c r="E34" s="61" t="s">
        <v>84</v>
      </c>
      <c r="F34" s="28">
        <f>D34+'[3]人工成本表 (大海则)'!D34</f>
        <v>231.5</v>
      </c>
      <c r="G34" s="29">
        <v>231.5</v>
      </c>
    </row>
    <row r="35" spans="1:7" ht="15" customHeight="1">
      <c r="A35" s="57" t="s">
        <v>85</v>
      </c>
      <c r="B35" s="71"/>
      <c r="C35" s="65"/>
      <c r="D35" s="69">
        <f>($D$8+$D$20+$D$31)*0.14</f>
        <v>58.347800000000007</v>
      </c>
      <c r="E35" s="61" t="s">
        <v>86</v>
      </c>
      <c r="F35" s="28">
        <f>D35+'[3]人工成本表 (大海则)'!D35</f>
        <v>1089.1744080000001</v>
      </c>
      <c r="G35" s="29">
        <v>1088.957408</v>
      </c>
    </row>
    <row r="36" spans="1:7" ht="15" customHeight="1">
      <c r="A36" s="57" t="s">
        <v>87</v>
      </c>
      <c r="B36" s="71"/>
      <c r="C36" s="65"/>
      <c r="D36" s="69">
        <f>($D$8+$D$20+$D$30)*0.02</f>
        <v>8.5253999999999994</v>
      </c>
      <c r="E36" s="61" t="s">
        <v>88</v>
      </c>
      <c r="F36" s="28">
        <f>D36+'[3]人工成本表 (大海则)'!D36</f>
        <v>161.866344</v>
      </c>
      <c r="G36" s="29">
        <v>161.83534399999999</v>
      </c>
    </row>
    <row r="37" spans="1:7" ht="15" customHeight="1">
      <c r="A37" s="57" t="s">
        <v>89</v>
      </c>
      <c r="B37" s="71"/>
      <c r="C37" s="65"/>
      <c r="D37" s="69">
        <f>($D$8+$D$20+$D$30)*0.025</f>
        <v>10.656750000000001</v>
      </c>
      <c r="E37" s="61" t="s">
        <v>90</v>
      </c>
      <c r="F37" s="28">
        <f>D37+'[3]人工成本表 (大海则)'!D37</f>
        <v>202.33292999999998</v>
      </c>
      <c r="G37" s="29">
        <v>202.29418000000001</v>
      </c>
    </row>
    <row r="38" spans="1:7" ht="15" customHeight="1">
      <c r="A38" s="57" t="s">
        <v>91</v>
      </c>
      <c r="B38" s="58">
        <v>12</v>
      </c>
      <c r="C38" s="59">
        <v>64485.47</v>
      </c>
      <c r="D38" s="69">
        <f t="shared" ref="D38:D47" si="2">C38*B38/10000</f>
        <v>77.382564000000002</v>
      </c>
      <c r="E38" s="61" t="s">
        <v>92</v>
      </c>
      <c r="F38" s="28">
        <f>D38+'[3]人工成本表 (大海则)'!D38</f>
        <v>1453.0524</v>
      </c>
      <c r="G38" s="29">
        <v>1453.0524</v>
      </c>
    </row>
    <row r="39" spans="1:7" ht="15" customHeight="1">
      <c r="A39" s="57" t="s">
        <v>93</v>
      </c>
      <c r="B39" s="72" t="s">
        <v>94</v>
      </c>
      <c r="C39" s="64">
        <v>0</v>
      </c>
      <c r="D39" s="60">
        <f>SUM(D40:D47)</f>
        <v>247.26905999999997</v>
      </c>
      <c r="E39" s="66"/>
      <c r="F39" s="28">
        <f>D39+'[3]人工成本表 (大海则)'!D39</f>
        <v>4643.0990400000001</v>
      </c>
      <c r="G39" s="29">
        <v>4643.0990400000001</v>
      </c>
    </row>
    <row r="40" spans="1:7" ht="15" customHeight="1">
      <c r="A40" s="62" t="s">
        <v>95</v>
      </c>
      <c r="B40" s="58">
        <v>12</v>
      </c>
      <c r="C40" s="64">
        <v>82018.45</v>
      </c>
      <c r="D40" s="65">
        <f t="shared" si="2"/>
        <v>98.422139999999985</v>
      </c>
      <c r="E40" s="61" t="s">
        <v>92</v>
      </c>
      <c r="F40" s="28">
        <f>D40+'[3]人工成本表 (大海则)'!D40</f>
        <v>1848.1234559999998</v>
      </c>
      <c r="G40" s="29">
        <v>1848.123456</v>
      </c>
    </row>
    <row r="41" spans="1:7" ht="15" customHeight="1">
      <c r="A41" s="62" t="s">
        <v>96</v>
      </c>
      <c r="B41" s="58">
        <v>12</v>
      </c>
      <c r="C41" s="64">
        <v>45379.76</v>
      </c>
      <c r="D41" s="65">
        <f t="shared" si="2"/>
        <v>54.455711999999998</v>
      </c>
      <c r="E41" s="61" t="s">
        <v>92</v>
      </c>
      <c r="F41" s="28">
        <f>D41+'[3]人工成本表 (大海则)'!D41</f>
        <v>1022.5430399999999</v>
      </c>
      <c r="G41" s="29">
        <v>1022.54304</v>
      </c>
    </row>
    <row r="42" spans="1:7" ht="15" customHeight="1">
      <c r="A42" s="62" t="s">
        <v>97</v>
      </c>
      <c r="B42" s="58">
        <v>12</v>
      </c>
      <c r="C42" s="64">
        <v>34456.400000000001</v>
      </c>
      <c r="D42" s="65">
        <f t="shared" si="2"/>
        <v>41.347680000000004</v>
      </c>
      <c r="E42" s="61" t="s">
        <v>92</v>
      </c>
      <c r="F42" s="28">
        <f>D42+'[3]人工成本表 (大海则)'!D42</f>
        <v>776.40673199999992</v>
      </c>
      <c r="G42" s="29">
        <v>776.40673200000003</v>
      </c>
    </row>
    <row r="43" spans="1:7" ht="15" customHeight="1">
      <c r="A43" s="62" t="s">
        <v>98</v>
      </c>
      <c r="B43" s="58">
        <v>12</v>
      </c>
      <c r="C43" s="64">
        <v>27918.51</v>
      </c>
      <c r="D43" s="65">
        <f t="shared" si="2"/>
        <v>33.502212</v>
      </c>
      <c r="E43" s="61" t="s">
        <v>99</v>
      </c>
      <c r="F43" s="28">
        <f>D43+'[3]人工成本表 (大海则)'!D43</f>
        <v>629.08838400000002</v>
      </c>
      <c r="G43" s="29">
        <v>629.08838400000002</v>
      </c>
    </row>
    <row r="44" spans="1:7" ht="15" customHeight="1">
      <c r="A44" s="62" t="s">
        <v>100</v>
      </c>
      <c r="B44" s="58">
        <v>12</v>
      </c>
      <c r="C44" s="64">
        <v>2602.0100000000002</v>
      </c>
      <c r="D44" s="65">
        <f t="shared" si="2"/>
        <v>3.1224120000000002</v>
      </c>
      <c r="E44" s="61" t="s">
        <v>92</v>
      </c>
      <c r="F44" s="28">
        <f>D44+'[3]人工成本表 (大海则)'!D44</f>
        <v>58.631183999999998</v>
      </c>
      <c r="G44" s="29">
        <v>58.631183999999998</v>
      </c>
    </row>
    <row r="45" spans="1:7" ht="15" customHeight="1">
      <c r="A45" s="62" t="s">
        <v>101</v>
      </c>
      <c r="B45" s="58">
        <v>12</v>
      </c>
      <c r="C45" s="64">
        <v>7826.73</v>
      </c>
      <c r="D45" s="65">
        <f t="shared" si="2"/>
        <v>9.3920759999999994</v>
      </c>
      <c r="E45" s="61" t="s">
        <v>92</v>
      </c>
      <c r="F45" s="28">
        <f>D45+'[3]人工成本表 (大海则)'!D45</f>
        <v>176.35995600000001</v>
      </c>
      <c r="G45" s="29">
        <v>176.35995600000001</v>
      </c>
    </row>
    <row r="46" spans="1:7" ht="15" customHeight="1">
      <c r="A46" s="62" t="s">
        <v>102</v>
      </c>
      <c r="B46" s="58">
        <v>12</v>
      </c>
      <c r="C46" s="64">
        <v>239.93</v>
      </c>
      <c r="D46" s="65">
        <f t="shared" si="2"/>
        <v>0.28791600000000001</v>
      </c>
      <c r="E46" s="61" t="s">
        <v>92</v>
      </c>
      <c r="F46" s="28">
        <f>D46+'[3]人工成本表 (大海则)'!D46</f>
        <v>5.406288</v>
      </c>
      <c r="G46" s="29">
        <v>5.406288</v>
      </c>
    </row>
    <row r="47" spans="1:7" ht="15.75" customHeight="1">
      <c r="A47" s="62" t="s">
        <v>103</v>
      </c>
      <c r="B47" s="58">
        <v>12</v>
      </c>
      <c r="C47" s="64">
        <v>5615.76</v>
      </c>
      <c r="D47" s="65">
        <f t="shared" si="2"/>
        <v>6.7389119999999991</v>
      </c>
      <c r="E47" s="61" t="s">
        <v>99</v>
      </c>
      <c r="F47" s="28">
        <f>D47+'[3]人工成本表 (大海则)'!D47</f>
        <v>126.53999999999999</v>
      </c>
      <c r="G47" s="29">
        <v>126.54</v>
      </c>
    </row>
    <row r="48" spans="1:7" ht="15" customHeight="1">
      <c r="A48" s="73" t="s">
        <v>104</v>
      </c>
      <c r="B48" s="74">
        <f>B52+B51+B50</f>
        <v>0</v>
      </c>
      <c r="C48" s="75"/>
      <c r="D48" s="55">
        <f>D49+D53+D58+D59+D65</f>
        <v>0</v>
      </c>
      <c r="E48" s="76"/>
      <c r="F48" s="28">
        <f>D48+'[3]人工成本表 (大海则)'!D48</f>
        <v>976.12232073600001</v>
      </c>
      <c r="G48" s="29">
        <v>976.12232073600001</v>
      </c>
    </row>
    <row r="49" spans="1:9" ht="15" customHeight="1">
      <c r="A49" s="57" t="s">
        <v>105</v>
      </c>
      <c r="B49" s="71">
        <f>SUM(B50:B52)</f>
        <v>0</v>
      </c>
      <c r="C49" s="59"/>
      <c r="D49" s="69">
        <f>SUM(D50:D52)</f>
        <v>0</v>
      </c>
      <c r="E49" s="77"/>
      <c r="F49" s="28">
        <f>D49+'[3]人工成本表 (大海则)'!D49</f>
        <v>636.27638400000001</v>
      </c>
      <c r="G49" s="29">
        <v>636.27638400000001</v>
      </c>
    </row>
    <row r="50" spans="1:9" ht="15" customHeight="1">
      <c r="A50" s="62" t="s">
        <v>106</v>
      </c>
      <c r="B50" s="58"/>
      <c r="C50" s="64" t="e">
        <f>ROUND(D50/B50,2)*10000</f>
        <v>#DIV/0!</v>
      </c>
      <c r="D50" s="65"/>
      <c r="E50" s="61" t="s">
        <v>51</v>
      </c>
      <c r="F50" s="28">
        <f>D50+'[3]人工成本表 (大海则)'!D50</f>
        <v>534.65605200000005</v>
      </c>
      <c r="G50" s="29">
        <v>534.65605200000005</v>
      </c>
    </row>
    <row r="51" spans="1:9" ht="15" customHeight="1">
      <c r="A51" s="62" t="s">
        <v>107</v>
      </c>
      <c r="B51" s="58"/>
      <c r="C51" s="64" t="e">
        <f>ROUND(D51/B51,2)*10000</f>
        <v>#DIV/0!</v>
      </c>
      <c r="D51" s="65"/>
      <c r="E51" s="61" t="s">
        <v>51</v>
      </c>
      <c r="F51" s="28">
        <f>D51+'[3]人工成本表 (大海则)'!D51</f>
        <v>24.940224000000001</v>
      </c>
      <c r="G51" s="29">
        <v>24.940224000000001</v>
      </c>
    </row>
    <row r="52" spans="1:9" ht="15" customHeight="1">
      <c r="A52" s="62" t="s">
        <v>108</v>
      </c>
      <c r="B52" s="58"/>
      <c r="C52" s="64">
        <v>42600</v>
      </c>
      <c r="D52" s="65"/>
      <c r="E52" s="61" t="s">
        <v>51</v>
      </c>
      <c r="F52" s="28">
        <f>D52+'[3]人工成本表 (大海则)'!D52</f>
        <v>76.680108000000004</v>
      </c>
      <c r="G52" s="29">
        <v>76.680108000000004</v>
      </c>
    </row>
    <row r="53" spans="1:9" ht="15" customHeight="1">
      <c r="A53" s="57" t="s">
        <v>109</v>
      </c>
      <c r="B53" s="58"/>
      <c r="C53" s="64"/>
      <c r="D53" s="69">
        <f>SUM(D54:D57)</f>
        <v>0</v>
      </c>
      <c r="E53" s="66"/>
      <c r="F53" s="28">
        <f>D53+'[3]人工成本表 (大海则)'!D53</f>
        <v>141.05879999999999</v>
      </c>
      <c r="G53" s="29">
        <v>141.05879999999999</v>
      </c>
    </row>
    <row r="54" spans="1:9" ht="15" customHeight="1">
      <c r="A54" s="62" t="s">
        <v>110</v>
      </c>
      <c r="B54" s="58">
        <f>B50+B51</f>
        <v>0</v>
      </c>
      <c r="C54" s="63">
        <v>0</v>
      </c>
      <c r="D54" s="65">
        <f>(B50*30+B51*20)*27*12/10000</f>
        <v>0</v>
      </c>
      <c r="E54" s="61" t="s">
        <v>111</v>
      </c>
      <c r="F54" s="28">
        <f>D54+'[3]人工成本表 (大海则)'!D54</f>
        <v>50.22</v>
      </c>
      <c r="G54" s="29">
        <v>50.22</v>
      </c>
    </row>
    <row r="55" spans="1:9" ht="15" customHeight="1">
      <c r="A55" s="62" t="s">
        <v>112</v>
      </c>
      <c r="B55" s="58">
        <f>B50+B51</f>
        <v>0</v>
      </c>
      <c r="C55" s="63">
        <v>0</v>
      </c>
      <c r="D55" s="65">
        <f>(10+12)/3*27*12*B55/10000</f>
        <v>0</v>
      </c>
      <c r="E55" s="61" t="s">
        <v>113</v>
      </c>
      <c r="F55" s="28">
        <f>D55+'[3]人工成本表 (大海则)'!D55</f>
        <v>12.5928</v>
      </c>
      <c r="G55" s="29">
        <v>12.5928</v>
      </c>
    </row>
    <row r="56" spans="1:9" ht="15" customHeight="1">
      <c r="A56" s="62" t="s">
        <v>114</v>
      </c>
      <c r="B56" s="58">
        <f>B49</f>
        <v>0</v>
      </c>
      <c r="C56" s="63">
        <f>35*12*27</f>
        <v>11340</v>
      </c>
      <c r="D56" s="65">
        <f>B56*C56/10000</f>
        <v>0</v>
      </c>
      <c r="E56" s="61" t="s">
        <v>115</v>
      </c>
      <c r="F56" s="28">
        <f>D56+'[3]人工成本表 (大海则)'!D56</f>
        <v>78.245999999999995</v>
      </c>
      <c r="G56" s="29">
        <v>78.245999999999995</v>
      </c>
    </row>
    <row r="57" spans="1:9" ht="15" customHeight="1">
      <c r="A57" s="62" t="s">
        <v>116</v>
      </c>
      <c r="B57" s="58"/>
      <c r="C57" s="63"/>
      <c r="D57" s="65">
        <v>0</v>
      </c>
      <c r="E57" s="61"/>
      <c r="F57" s="28">
        <f>D57+'[3]人工成本表 (大海则)'!D57</f>
        <v>0</v>
      </c>
      <c r="G57" s="29">
        <v>0</v>
      </c>
    </row>
    <row r="58" spans="1:9" ht="15" customHeight="1">
      <c r="A58" s="57" t="s">
        <v>117</v>
      </c>
      <c r="B58" s="58">
        <v>12</v>
      </c>
      <c r="C58" s="64">
        <f>B52*70</f>
        <v>0</v>
      </c>
      <c r="D58" s="69">
        <f>C58*B58/10000</f>
        <v>0</v>
      </c>
      <c r="E58" s="61" t="s">
        <v>118</v>
      </c>
      <c r="F58" s="28">
        <f>D58+'[3]人工成本表 (大海则)'!D58</f>
        <v>1.3440000000000001</v>
      </c>
      <c r="G58" s="29">
        <v>1.3440000000000001</v>
      </c>
    </row>
    <row r="59" spans="1:9" ht="15" customHeight="1">
      <c r="A59" s="57" t="s">
        <v>119</v>
      </c>
      <c r="B59" s="72" t="s">
        <v>94</v>
      </c>
      <c r="C59" s="64"/>
      <c r="D59" s="69">
        <f>SUM(D60:D64)</f>
        <v>0</v>
      </c>
      <c r="E59" s="78" t="s">
        <v>120</v>
      </c>
      <c r="F59" s="28">
        <f>D59+'[3]人工成本表 (大海则)'!D59</f>
        <v>197.44313673600001</v>
      </c>
      <c r="G59" s="29">
        <v>197.44313673600001</v>
      </c>
    </row>
    <row r="60" spans="1:9" ht="15" customHeight="1">
      <c r="A60" s="62" t="s">
        <v>121</v>
      </c>
      <c r="B60" s="58">
        <v>12</v>
      </c>
      <c r="C60" s="64">
        <f t="shared" ref="C60:C64" si="3">D60/B60</f>
        <v>0</v>
      </c>
      <c r="D60" s="65">
        <f t="shared" ref="D60:D64" si="4">($D$49+$D$53)*E60</f>
        <v>0</v>
      </c>
      <c r="E60" s="79">
        <v>0.16</v>
      </c>
      <c r="F60" s="28">
        <f>D60+'[3]人工成本表 (大海则)'!D60</f>
        <v>124.37362944</v>
      </c>
      <c r="G60" s="29">
        <v>124.37362944</v>
      </c>
    </row>
    <row r="61" spans="1:9" ht="15" customHeight="1">
      <c r="A61" s="62" t="s">
        <v>122</v>
      </c>
      <c r="B61" s="58">
        <v>12</v>
      </c>
      <c r="C61" s="64">
        <f t="shared" si="3"/>
        <v>0</v>
      </c>
      <c r="D61" s="65">
        <f t="shared" si="4"/>
        <v>0</v>
      </c>
      <c r="E61" s="79">
        <v>0.06</v>
      </c>
      <c r="F61" s="28">
        <f>D61+'[3]人工成本表 (大海则)'!D61</f>
        <v>46.640111040000001</v>
      </c>
      <c r="G61" s="29">
        <v>46.640111040000001</v>
      </c>
    </row>
    <row r="62" spans="1:9" ht="15" customHeight="1">
      <c r="A62" s="62" t="s">
        <v>123</v>
      </c>
      <c r="B62" s="58">
        <v>12</v>
      </c>
      <c r="C62" s="64">
        <f t="shared" si="3"/>
        <v>0</v>
      </c>
      <c r="D62" s="65">
        <f t="shared" si="4"/>
        <v>0</v>
      </c>
      <c r="E62" s="80">
        <v>5.0000000000000001E-3</v>
      </c>
      <c r="F62" s="28">
        <f>D62+'[3]人工成本表 (大海则)'!D62</f>
        <v>3.8866759200000001</v>
      </c>
      <c r="G62" s="29">
        <v>3.8866759200000001</v>
      </c>
      <c r="H62" s="33"/>
      <c r="I62" s="33"/>
    </row>
    <row r="63" spans="1:9" ht="15" customHeight="1">
      <c r="A63" s="62" t="s">
        <v>124</v>
      </c>
      <c r="B63" s="58">
        <v>12</v>
      </c>
      <c r="C63" s="64">
        <f t="shared" si="3"/>
        <v>0</v>
      </c>
      <c r="D63" s="65">
        <f t="shared" si="4"/>
        <v>0</v>
      </c>
      <c r="E63" s="80">
        <v>1.9E-2</v>
      </c>
      <c r="F63" s="28">
        <f>D63+'[3]人工成本表 (大海则)'!D63</f>
        <v>14.769368496</v>
      </c>
      <c r="G63" s="29">
        <v>14.769368496</v>
      </c>
      <c r="H63" s="33"/>
      <c r="I63" s="33"/>
    </row>
    <row r="64" spans="1:9" ht="15" customHeight="1">
      <c r="A64" s="62" t="s">
        <v>125</v>
      </c>
      <c r="B64" s="58">
        <v>12</v>
      </c>
      <c r="C64" s="64">
        <f t="shared" si="3"/>
        <v>0</v>
      </c>
      <c r="D64" s="65">
        <f t="shared" si="4"/>
        <v>0</v>
      </c>
      <c r="E64" s="79">
        <v>0.01</v>
      </c>
      <c r="F64" s="28">
        <f>D64+'[3]人工成本表 (大海则)'!D64</f>
        <v>7.7733518400000001</v>
      </c>
      <c r="G64" s="29">
        <v>7.7733518400000001</v>
      </c>
      <c r="H64" s="33"/>
      <c r="I64" s="33"/>
    </row>
    <row r="65" spans="1:9" ht="15" customHeight="1">
      <c r="A65" s="81" t="s">
        <v>126</v>
      </c>
      <c r="B65" s="58"/>
      <c r="C65" s="64"/>
      <c r="D65" s="69"/>
      <c r="E65" s="61"/>
      <c r="F65" s="28">
        <f>'[3]人工成本表 (管理费用-1)'!D65+'[3]人工成本表 (生产-2)'!D65</f>
        <v>0</v>
      </c>
      <c r="G65" s="31"/>
      <c r="H65" s="33"/>
      <c r="I65" s="33"/>
    </row>
    <row r="66" spans="1:9" ht="15" customHeight="1">
      <c r="A66" s="82" t="s">
        <v>127</v>
      </c>
      <c r="B66" s="83"/>
      <c r="C66" s="84" t="s">
        <v>128</v>
      </c>
      <c r="D66" s="84"/>
      <c r="E66" s="83" t="s">
        <v>129</v>
      </c>
    </row>
    <row r="67" spans="1:9" ht="15" customHeight="1"/>
    <row r="68" spans="1:9" ht="15" customHeight="1"/>
    <row r="69" spans="1:9" ht="15" customHeight="1"/>
    <row r="70" spans="1:9" ht="15" customHeight="1"/>
    <row r="71" spans="1:9" ht="15" customHeight="1"/>
    <row r="72" spans="1:9" ht="15" customHeight="1"/>
    <row r="73" spans="1:9" ht="15" customHeight="1"/>
    <row r="74" spans="1:9" ht="15" customHeight="1"/>
    <row r="75" spans="1:9" ht="15" customHeight="1"/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3">
    <mergeCell ref="A1:B1"/>
    <mergeCell ref="A2:B2"/>
    <mergeCell ref="A3:E3"/>
  </mergeCells>
  <phoneticPr fontId="2" type="noConversion"/>
  <pageMargins left="0.39305555555555599" right="3.8888888888888903E-2" top="0.62986111111111098" bottom="0.22013888888888899" header="0.156944444444444" footer="0.29861111111111099"/>
  <pageSetup paperSize="9" scale="9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大海则</vt:lpstr>
      <vt:lpstr>人工成本表 (总1+2)</vt:lpstr>
      <vt:lpstr>人工成本表-1矿井</vt:lpstr>
      <vt:lpstr>人工成本表-2选煤厂)</vt:lpstr>
      <vt:lpstr>大海则!Print_Area</vt:lpstr>
      <vt:lpstr>'人工成本表 (总1+2)'!Print_Area</vt:lpstr>
      <vt:lpstr>'人工成本表-1矿井'!Print_Area</vt:lpstr>
      <vt:lpstr>'人工成本表-2选煤厂)'!Print_Area</vt:lpstr>
      <vt:lpstr>大海则!Print_Titles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福勇 任</dc:creator>
  <cp:lastModifiedBy>李伟</cp:lastModifiedBy>
  <cp:lastPrinted>2025-03-12T08:21:26Z</cp:lastPrinted>
  <dcterms:created xsi:type="dcterms:W3CDTF">2024-12-27T15:21:34Z</dcterms:created>
  <dcterms:modified xsi:type="dcterms:W3CDTF">2025-03-12T08:21:57Z</dcterms:modified>
</cp:coreProperties>
</file>